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88" yWindow="1740" windowWidth="12108" windowHeight="7920" tabRatio="204"/>
  </bookViews>
  <sheets>
    <sheet name="Расчет и места 1" sheetId="1" r:id="rId1"/>
  </sheets>
  <definedNames>
    <definedName name="_xlnm.Print_Titles" localSheetId="0">'Расчет и места 1'!$A:$B</definedName>
  </definedNames>
  <calcPr calcId="145621"/>
</workbook>
</file>

<file path=xl/calcChain.xml><?xml version="1.0" encoding="utf-8"?>
<calcChain xmlns="http://schemas.openxmlformats.org/spreadsheetml/2006/main">
  <c r="DN15" i="1" l="1"/>
  <c r="GT15" i="1"/>
  <c r="GM23" i="1" l="1"/>
  <c r="GJ23" i="1"/>
  <c r="GF23" i="1"/>
  <c r="GE23" i="1"/>
  <c r="FV23" i="1"/>
  <c r="FU23" i="1"/>
  <c r="FN23" i="1"/>
  <c r="FJ23" i="1"/>
  <c r="FA23" i="1"/>
  <c r="EZ23" i="1"/>
  <c r="EW23" i="1"/>
  <c r="EQ23" i="1"/>
  <c r="EJ23" i="1"/>
  <c r="EF23" i="1"/>
  <c r="EE23" i="1"/>
  <c r="EG23" i="1" s="1"/>
  <c r="DT23" i="1"/>
  <c r="DD23" i="1"/>
  <c r="CZ23" i="1"/>
  <c r="CY23" i="1"/>
  <c r="CV23" i="1"/>
  <c r="CR23" i="1"/>
  <c r="CQ23" i="1"/>
  <c r="CF23" i="1"/>
  <c r="CE23" i="1"/>
  <c r="CA23" i="1"/>
  <c r="BZ23" i="1"/>
  <c r="BV23" i="1"/>
  <c r="BU23" i="1"/>
  <c r="BO23" i="1"/>
  <c r="BN23" i="1"/>
  <c r="BJ23" i="1"/>
  <c r="BF23" i="1"/>
  <c r="DQ23" i="1" s="1"/>
  <c r="BE23" i="1"/>
  <c r="AX23" i="1"/>
  <c r="AW23" i="1"/>
  <c r="AS23" i="1"/>
  <c r="AR23" i="1"/>
  <c r="AN23" i="1"/>
  <c r="AI23" i="1"/>
  <c r="AH23" i="1"/>
  <c r="AD23" i="1"/>
  <c r="AC23" i="1"/>
  <c r="Y23" i="1"/>
  <c r="X23" i="1"/>
  <c r="T23" i="1"/>
  <c r="S23" i="1"/>
  <c r="N23" i="1"/>
  <c r="I23" i="1"/>
  <c r="H23" i="1"/>
  <c r="D23" i="1"/>
  <c r="C23" i="1"/>
  <c r="GQ22" i="1"/>
  <c r="GN22" i="1"/>
  <c r="GK22" i="1"/>
  <c r="GG22" i="1"/>
  <c r="GA22" i="1"/>
  <c r="FZ22" i="1"/>
  <c r="FW22" i="1"/>
  <c r="FR22" i="1"/>
  <c r="FO22" i="1"/>
  <c r="FK22" i="1"/>
  <c r="FG22" i="1"/>
  <c r="FB22" i="1"/>
  <c r="EX22" i="1"/>
  <c r="EU22" i="1"/>
  <c r="ER22" i="1"/>
  <c r="EN22" i="1"/>
  <c r="EK22" i="1"/>
  <c r="EG22" i="1"/>
  <c r="EB22" i="1"/>
  <c r="DY22" i="1"/>
  <c r="DZ22" i="1" s="1"/>
  <c r="DU22" i="1"/>
  <c r="DR22" i="1"/>
  <c r="DM22" i="1"/>
  <c r="DK22" i="1"/>
  <c r="DH22" i="1"/>
  <c r="DE22" i="1"/>
  <c r="DB22" i="1"/>
  <c r="CW22" i="1"/>
  <c r="CT22" i="1"/>
  <c r="CN22" i="1"/>
  <c r="CK22" i="1"/>
  <c r="CG22" i="1"/>
  <c r="CB22" i="1"/>
  <c r="BW22" i="1"/>
  <c r="BP22" i="1"/>
  <c r="BQ22" i="1" s="1"/>
  <c r="BR22" i="1" s="1"/>
  <c r="BK22" i="1"/>
  <c r="BG22" i="1"/>
  <c r="BB22" i="1"/>
  <c r="AY22" i="1"/>
  <c r="AO22" i="1"/>
  <c r="AJ22" i="1"/>
  <c r="AE22" i="1"/>
  <c r="Z22" i="1"/>
  <c r="U22" i="1"/>
  <c r="O22" i="1"/>
  <c r="P22" i="1" s="1"/>
  <c r="J22" i="1"/>
  <c r="K22" i="1" s="1"/>
  <c r="E22" i="1"/>
  <c r="GQ21" i="1"/>
  <c r="GN21" i="1"/>
  <c r="GK21" i="1"/>
  <c r="GG21" i="1"/>
  <c r="GA21" i="1"/>
  <c r="FZ21" i="1"/>
  <c r="FW21" i="1"/>
  <c r="FR21" i="1"/>
  <c r="FO21" i="1"/>
  <c r="FK21" i="1"/>
  <c r="FG21" i="1"/>
  <c r="FB21" i="1"/>
  <c r="EX21" i="1"/>
  <c r="EU21" i="1"/>
  <c r="ER21" i="1"/>
  <c r="EN21" i="1"/>
  <c r="EK21" i="1"/>
  <c r="EG21" i="1"/>
  <c r="EB21" i="1"/>
  <c r="DY21" i="1"/>
  <c r="DZ21" i="1" s="1"/>
  <c r="DU21" i="1"/>
  <c r="DR21" i="1"/>
  <c r="DM21" i="1"/>
  <c r="DK21" i="1"/>
  <c r="DH21" i="1"/>
  <c r="DE21" i="1"/>
  <c r="DB21" i="1"/>
  <c r="CW21" i="1"/>
  <c r="CT21" i="1"/>
  <c r="CN21" i="1"/>
  <c r="CK21" i="1"/>
  <c r="CG21" i="1"/>
  <c r="CB21" i="1"/>
  <c r="BW21" i="1"/>
  <c r="BR21" i="1"/>
  <c r="BP21" i="1"/>
  <c r="BQ21" i="1" s="1"/>
  <c r="BK21" i="1"/>
  <c r="BG21" i="1"/>
  <c r="BB21" i="1"/>
  <c r="AY21" i="1"/>
  <c r="AO21" i="1"/>
  <c r="AJ21" i="1"/>
  <c r="AE21" i="1"/>
  <c r="Z21" i="1"/>
  <c r="U21" i="1"/>
  <c r="O21" i="1"/>
  <c r="P21" i="1" s="1"/>
  <c r="J21" i="1"/>
  <c r="K21" i="1" s="1"/>
  <c r="E21" i="1"/>
  <c r="GQ20" i="1"/>
  <c r="GN20" i="1"/>
  <c r="GK20" i="1"/>
  <c r="GG20" i="1"/>
  <c r="GA20" i="1"/>
  <c r="FZ20" i="1"/>
  <c r="FW20" i="1"/>
  <c r="FR20" i="1"/>
  <c r="FO20" i="1"/>
  <c r="FK20" i="1"/>
  <c r="FG20" i="1"/>
  <c r="FB20" i="1"/>
  <c r="EX20" i="1"/>
  <c r="EU20" i="1"/>
  <c r="ER20" i="1"/>
  <c r="EN20" i="1"/>
  <c r="EK20" i="1"/>
  <c r="EG20" i="1"/>
  <c r="EB20" i="1"/>
  <c r="DY20" i="1"/>
  <c r="DZ20" i="1" s="1"/>
  <c r="DU20" i="1"/>
  <c r="DR20" i="1"/>
  <c r="DM20" i="1"/>
  <c r="DK20" i="1"/>
  <c r="DH20" i="1"/>
  <c r="DE20" i="1"/>
  <c r="DB20" i="1"/>
  <c r="CW20" i="1"/>
  <c r="CT20" i="1"/>
  <c r="DN20" i="1" s="1"/>
  <c r="CN20" i="1"/>
  <c r="CK20" i="1"/>
  <c r="CG20" i="1"/>
  <c r="CB20" i="1"/>
  <c r="BP20" i="1"/>
  <c r="BQ20" i="1" s="1"/>
  <c r="BR20" i="1" s="1"/>
  <c r="BK20" i="1"/>
  <c r="BG20" i="1"/>
  <c r="BB20" i="1"/>
  <c r="AY20" i="1"/>
  <c r="AO20" i="1"/>
  <c r="AJ20" i="1"/>
  <c r="AE20" i="1"/>
  <c r="Z20" i="1"/>
  <c r="U20" i="1"/>
  <c r="O20" i="1"/>
  <c r="P20" i="1" s="1"/>
  <c r="J20" i="1"/>
  <c r="K20" i="1" s="1"/>
  <c r="E20" i="1"/>
  <c r="GQ19" i="1"/>
  <c r="GN19" i="1"/>
  <c r="GK19" i="1"/>
  <c r="GG19" i="1"/>
  <c r="GA19" i="1"/>
  <c r="GB19" i="1" s="1"/>
  <c r="FZ19" i="1"/>
  <c r="FW19" i="1"/>
  <c r="FR19" i="1"/>
  <c r="FO19" i="1"/>
  <c r="FK19" i="1"/>
  <c r="FG19" i="1"/>
  <c r="FB19" i="1"/>
  <c r="EX19" i="1"/>
  <c r="EU19" i="1"/>
  <c r="ER19" i="1"/>
  <c r="EN19" i="1"/>
  <c r="EK19" i="1"/>
  <c r="EG19" i="1"/>
  <c r="EB19" i="1"/>
  <c r="DY19" i="1"/>
  <c r="DZ19" i="1" s="1"/>
  <c r="DU19" i="1"/>
  <c r="DR19" i="1"/>
  <c r="DM19" i="1"/>
  <c r="DK19" i="1"/>
  <c r="DH19" i="1"/>
  <c r="DE19" i="1"/>
  <c r="DB19" i="1"/>
  <c r="CW19" i="1"/>
  <c r="CT19" i="1"/>
  <c r="CN19" i="1"/>
  <c r="CK19" i="1"/>
  <c r="CG19" i="1"/>
  <c r="CB19" i="1"/>
  <c r="BW19" i="1"/>
  <c r="BP19" i="1"/>
  <c r="BQ19" i="1" s="1"/>
  <c r="BR19" i="1" s="1"/>
  <c r="BK19" i="1"/>
  <c r="BG19" i="1"/>
  <c r="BB19" i="1"/>
  <c r="AY19" i="1"/>
  <c r="AO19" i="1"/>
  <c r="AJ19" i="1"/>
  <c r="AE19" i="1"/>
  <c r="Z19" i="1"/>
  <c r="U19" i="1"/>
  <c r="P19" i="1"/>
  <c r="O19" i="1"/>
  <c r="J19" i="1"/>
  <c r="K19" i="1" s="1"/>
  <c r="E19" i="1"/>
  <c r="GQ18" i="1"/>
  <c r="GN18" i="1"/>
  <c r="GK18" i="1"/>
  <c r="GG18" i="1"/>
  <c r="GA18" i="1"/>
  <c r="GB18" i="1" s="1"/>
  <c r="FZ18" i="1"/>
  <c r="FW18" i="1"/>
  <c r="FR18" i="1"/>
  <c r="FO18" i="1"/>
  <c r="FK18" i="1"/>
  <c r="FG18" i="1"/>
  <c r="FB18" i="1"/>
  <c r="EX18" i="1"/>
  <c r="EU18" i="1"/>
  <c r="ER18" i="1"/>
  <c r="EN18" i="1"/>
  <c r="EK18" i="1"/>
  <c r="EG18" i="1"/>
  <c r="EB18" i="1"/>
  <c r="DY18" i="1"/>
  <c r="DZ18" i="1" s="1"/>
  <c r="DU18" i="1"/>
  <c r="DR18" i="1"/>
  <c r="DM18" i="1"/>
  <c r="DK18" i="1"/>
  <c r="DH18" i="1"/>
  <c r="DE18" i="1"/>
  <c r="DB18" i="1"/>
  <c r="CW18" i="1"/>
  <c r="CT18" i="1"/>
  <c r="CN18" i="1"/>
  <c r="CK18" i="1"/>
  <c r="CG18" i="1"/>
  <c r="CB18" i="1"/>
  <c r="BW18" i="1"/>
  <c r="BP18" i="1"/>
  <c r="BQ18" i="1" s="1"/>
  <c r="BR18" i="1" s="1"/>
  <c r="BK18" i="1"/>
  <c r="BG18" i="1"/>
  <c r="BB18" i="1"/>
  <c r="AY18" i="1"/>
  <c r="AT18" i="1"/>
  <c r="AO18" i="1"/>
  <c r="AJ18" i="1"/>
  <c r="AE18" i="1"/>
  <c r="Z18" i="1"/>
  <c r="U18" i="1"/>
  <c r="O18" i="1"/>
  <c r="P18" i="1" s="1"/>
  <c r="J18" i="1"/>
  <c r="K18" i="1" s="1"/>
  <c r="E18" i="1"/>
  <c r="GQ17" i="1"/>
  <c r="GN17" i="1"/>
  <c r="GK17" i="1"/>
  <c r="GG17" i="1"/>
  <c r="GA17" i="1"/>
  <c r="FZ17" i="1"/>
  <c r="FW17" i="1"/>
  <c r="FR17" i="1"/>
  <c r="FO17" i="1"/>
  <c r="FK17" i="1"/>
  <c r="FG17" i="1"/>
  <c r="FB17" i="1"/>
  <c r="EX17" i="1"/>
  <c r="EU17" i="1"/>
  <c r="ER17" i="1"/>
  <c r="EN17" i="1"/>
  <c r="EK17" i="1"/>
  <c r="EG17" i="1"/>
  <c r="EB17" i="1"/>
  <c r="DY17" i="1"/>
  <c r="DZ17" i="1" s="1"/>
  <c r="DU17" i="1"/>
  <c r="DR17" i="1"/>
  <c r="DM17" i="1"/>
  <c r="DK17" i="1"/>
  <c r="DH17" i="1"/>
  <c r="DE17" i="1"/>
  <c r="DB17" i="1"/>
  <c r="CW17" i="1"/>
  <c r="CT17" i="1"/>
  <c r="CN17" i="1"/>
  <c r="CK17" i="1"/>
  <c r="CG17" i="1"/>
  <c r="CB17" i="1"/>
  <c r="BW17" i="1"/>
  <c r="BP17" i="1"/>
  <c r="BQ17" i="1" s="1"/>
  <c r="BR17" i="1" s="1"/>
  <c r="BK17" i="1"/>
  <c r="BG17" i="1"/>
  <c r="BB17" i="1"/>
  <c r="AY17" i="1"/>
  <c r="AT17" i="1"/>
  <c r="AO17" i="1"/>
  <c r="AJ17" i="1"/>
  <c r="AE17" i="1"/>
  <c r="Z17" i="1"/>
  <c r="U17" i="1"/>
  <c r="O17" i="1"/>
  <c r="P17" i="1" s="1"/>
  <c r="J17" i="1"/>
  <c r="K17" i="1" s="1"/>
  <c r="E17" i="1"/>
  <c r="GQ16" i="1"/>
  <c r="GN16" i="1"/>
  <c r="GK16" i="1"/>
  <c r="GG16" i="1"/>
  <c r="GA16" i="1"/>
  <c r="FZ16" i="1"/>
  <c r="FW16" i="1"/>
  <c r="FR16" i="1"/>
  <c r="FO16" i="1"/>
  <c r="FK16" i="1"/>
  <c r="FG16" i="1"/>
  <c r="FB16" i="1"/>
  <c r="EX16" i="1"/>
  <c r="EU16" i="1"/>
  <c r="ER16" i="1"/>
  <c r="EN16" i="1"/>
  <c r="EK16" i="1"/>
  <c r="EG16" i="1"/>
  <c r="EB16" i="1"/>
  <c r="DY16" i="1"/>
  <c r="DZ16" i="1" s="1"/>
  <c r="DU16" i="1"/>
  <c r="DR16" i="1"/>
  <c r="DM16" i="1"/>
  <c r="DK16" i="1"/>
  <c r="DH16" i="1"/>
  <c r="DE16" i="1"/>
  <c r="DB16" i="1"/>
  <c r="CW16" i="1"/>
  <c r="CT16" i="1"/>
  <c r="CN16" i="1"/>
  <c r="CK16" i="1"/>
  <c r="CG16" i="1"/>
  <c r="CB16" i="1"/>
  <c r="BW16" i="1"/>
  <c r="BP16" i="1"/>
  <c r="BQ16" i="1" s="1"/>
  <c r="BR16" i="1" s="1"/>
  <c r="BK16" i="1"/>
  <c r="BG16" i="1"/>
  <c r="BB16" i="1"/>
  <c r="AY16" i="1"/>
  <c r="AO16" i="1"/>
  <c r="AJ16" i="1"/>
  <c r="AE16" i="1"/>
  <c r="Z16" i="1"/>
  <c r="U16" i="1"/>
  <c r="O16" i="1"/>
  <c r="P16" i="1" s="1"/>
  <c r="J16" i="1"/>
  <c r="K16" i="1" s="1"/>
  <c r="E16" i="1"/>
  <c r="GQ15" i="1"/>
  <c r="GN15" i="1"/>
  <c r="GK15" i="1"/>
  <c r="GG15" i="1"/>
  <c r="GA15" i="1"/>
  <c r="FZ15" i="1"/>
  <c r="FW15" i="1"/>
  <c r="FR15" i="1"/>
  <c r="FO15" i="1"/>
  <c r="FK15" i="1"/>
  <c r="FG15" i="1"/>
  <c r="FB15" i="1"/>
  <c r="EX15" i="1"/>
  <c r="EU15" i="1"/>
  <c r="ER15" i="1"/>
  <c r="EN15" i="1"/>
  <c r="EK15" i="1"/>
  <c r="EG15" i="1"/>
  <c r="EB15" i="1"/>
  <c r="DY15" i="1"/>
  <c r="DZ15" i="1" s="1"/>
  <c r="DU15" i="1"/>
  <c r="DR15" i="1"/>
  <c r="DM15" i="1"/>
  <c r="DK15" i="1"/>
  <c r="DH15" i="1"/>
  <c r="DE15" i="1"/>
  <c r="DB15" i="1"/>
  <c r="CW15" i="1"/>
  <c r="CT15" i="1"/>
  <c r="CN15" i="1"/>
  <c r="CK15" i="1"/>
  <c r="CG15" i="1"/>
  <c r="CB15" i="1"/>
  <c r="BW15" i="1"/>
  <c r="BP15" i="1"/>
  <c r="BQ15" i="1" s="1"/>
  <c r="BR15" i="1" s="1"/>
  <c r="BK15" i="1"/>
  <c r="BG15" i="1"/>
  <c r="BB15" i="1"/>
  <c r="AY15" i="1"/>
  <c r="AO15" i="1"/>
  <c r="AJ15" i="1"/>
  <c r="AE15" i="1"/>
  <c r="Z15" i="1"/>
  <c r="U15" i="1"/>
  <c r="O15" i="1"/>
  <c r="P15" i="1" s="1"/>
  <c r="J15" i="1"/>
  <c r="K15" i="1" s="1"/>
  <c r="E15" i="1"/>
  <c r="GQ14" i="1"/>
  <c r="GN14" i="1"/>
  <c r="GK14" i="1"/>
  <c r="GG14" i="1"/>
  <c r="GA14" i="1"/>
  <c r="FZ14" i="1"/>
  <c r="FW14" i="1"/>
  <c r="FR14" i="1"/>
  <c r="FO14" i="1"/>
  <c r="FK14" i="1"/>
  <c r="FG14" i="1"/>
  <c r="FB14" i="1"/>
  <c r="EX14" i="1"/>
  <c r="EU14" i="1"/>
  <c r="ER14" i="1"/>
  <c r="EN14" i="1"/>
  <c r="EK14" i="1"/>
  <c r="EG14" i="1"/>
  <c r="EB14" i="1"/>
  <c r="DY14" i="1"/>
  <c r="DZ14" i="1" s="1"/>
  <c r="DU14" i="1"/>
  <c r="DR14" i="1"/>
  <c r="DM14" i="1"/>
  <c r="DK14" i="1"/>
  <c r="DH14" i="1"/>
  <c r="DE14" i="1"/>
  <c r="DB14" i="1"/>
  <c r="CW14" i="1"/>
  <c r="CT14" i="1"/>
  <c r="CN14" i="1"/>
  <c r="CK14" i="1"/>
  <c r="CG14" i="1"/>
  <c r="CB14" i="1"/>
  <c r="BW14" i="1"/>
  <c r="BP14" i="1"/>
  <c r="BQ14" i="1" s="1"/>
  <c r="BR14" i="1" s="1"/>
  <c r="BK14" i="1"/>
  <c r="BG14" i="1"/>
  <c r="BB14" i="1"/>
  <c r="AY14" i="1"/>
  <c r="AO14" i="1"/>
  <c r="AJ14" i="1"/>
  <c r="AE14" i="1"/>
  <c r="Z14" i="1"/>
  <c r="U14" i="1"/>
  <c r="O14" i="1"/>
  <c r="P14" i="1" s="1"/>
  <c r="J14" i="1"/>
  <c r="K14" i="1" s="1"/>
  <c r="E14" i="1"/>
  <c r="GQ13" i="1"/>
  <c r="GN13" i="1"/>
  <c r="GK13" i="1"/>
  <c r="GG13" i="1"/>
  <c r="GA13" i="1"/>
  <c r="FZ13" i="1"/>
  <c r="FW13" i="1"/>
  <c r="FR13" i="1"/>
  <c r="FO13" i="1"/>
  <c r="FK13" i="1"/>
  <c r="FG13" i="1"/>
  <c r="FB13" i="1"/>
  <c r="EX13" i="1"/>
  <c r="EU13" i="1"/>
  <c r="ER13" i="1"/>
  <c r="EN13" i="1"/>
  <c r="EK13" i="1"/>
  <c r="EG13" i="1"/>
  <c r="EB13" i="1"/>
  <c r="DY13" i="1"/>
  <c r="DZ13" i="1" s="1"/>
  <c r="DU13" i="1"/>
  <c r="DR13" i="1"/>
  <c r="DM13" i="1"/>
  <c r="DK13" i="1"/>
  <c r="DH13" i="1"/>
  <c r="DE13" i="1"/>
  <c r="DB13" i="1"/>
  <c r="CW13" i="1"/>
  <c r="CT13" i="1"/>
  <c r="CN13" i="1"/>
  <c r="CK13" i="1"/>
  <c r="CG13" i="1"/>
  <c r="CB13" i="1"/>
  <c r="BW13" i="1"/>
  <c r="BP13" i="1"/>
  <c r="BQ13" i="1" s="1"/>
  <c r="BR13" i="1" s="1"/>
  <c r="BK13" i="1"/>
  <c r="BG13" i="1"/>
  <c r="BB13" i="1"/>
  <c r="AY13" i="1"/>
  <c r="AO13" i="1"/>
  <c r="AJ13" i="1"/>
  <c r="AE13" i="1"/>
  <c r="Z13" i="1"/>
  <c r="U13" i="1"/>
  <c r="O13" i="1"/>
  <c r="P13" i="1" s="1"/>
  <c r="J13" i="1"/>
  <c r="K13" i="1" s="1"/>
  <c r="E13" i="1"/>
  <c r="GQ12" i="1"/>
  <c r="GN12" i="1"/>
  <c r="GK12" i="1"/>
  <c r="GG12" i="1"/>
  <c r="GA12" i="1"/>
  <c r="FZ12" i="1"/>
  <c r="FW12" i="1"/>
  <c r="FR12" i="1"/>
  <c r="FO12" i="1"/>
  <c r="FK12" i="1"/>
  <c r="FG12" i="1"/>
  <c r="FB12" i="1"/>
  <c r="EX12" i="1"/>
  <c r="EU12" i="1"/>
  <c r="ER12" i="1"/>
  <c r="EN12" i="1"/>
  <c r="EK12" i="1"/>
  <c r="EG12" i="1"/>
  <c r="EB12" i="1"/>
  <c r="DY12" i="1"/>
  <c r="DZ12" i="1" s="1"/>
  <c r="DU12" i="1"/>
  <c r="DR12" i="1"/>
  <c r="DM12" i="1"/>
  <c r="DK12" i="1"/>
  <c r="DH12" i="1"/>
  <c r="DE12" i="1"/>
  <c r="DB12" i="1"/>
  <c r="CW12" i="1"/>
  <c r="CT12" i="1"/>
  <c r="CN12" i="1"/>
  <c r="CK12" i="1"/>
  <c r="CG12" i="1"/>
  <c r="CB12" i="1"/>
  <c r="BW12" i="1"/>
  <c r="BP12" i="1"/>
  <c r="BQ12" i="1" s="1"/>
  <c r="BR12" i="1" s="1"/>
  <c r="BK12" i="1"/>
  <c r="BG12" i="1"/>
  <c r="BB12" i="1"/>
  <c r="AY12" i="1"/>
  <c r="AT12" i="1"/>
  <c r="AO12" i="1"/>
  <c r="AJ12" i="1"/>
  <c r="AE12" i="1"/>
  <c r="Z12" i="1"/>
  <c r="U12" i="1"/>
  <c r="O12" i="1"/>
  <c r="P12" i="1" s="1"/>
  <c r="J12" i="1"/>
  <c r="K12" i="1" s="1"/>
  <c r="E12" i="1"/>
  <c r="GQ11" i="1"/>
  <c r="GN11" i="1"/>
  <c r="GK11" i="1"/>
  <c r="GG11" i="1"/>
  <c r="GA11" i="1"/>
  <c r="FZ11" i="1"/>
  <c r="FW11" i="1"/>
  <c r="FR11" i="1"/>
  <c r="FO11" i="1"/>
  <c r="FK11" i="1"/>
  <c r="FG11" i="1"/>
  <c r="FB11" i="1"/>
  <c r="EX11" i="1"/>
  <c r="EU11" i="1"/>
  <c r="ER11" i="1"/>
  <c r="EN11" i="1"/>
  <c r="EK11" i="1"/>
  <c r="EG11" i="1"/>
  <c r="EB11" i="1"/>
  <c r="DY11" i="1"/>
  <c r="DZ11" i="1" s="1"/>
  <c r="DU11" i="1"/>
  <c r="DR11" i="1"/>
  <c r="DM11" i="1"/>
  <c r="DK11" i="1"/>
  <c r="DH11" i="1"/>
  <c r="DE11" i="1"/>
  <c r="DB11" i="1"/>
  <c r="CW11" i="1"/>
  <c r="CT11" i="1"/>
  <c r="CN11" i="1"/>
  <c r="CK11" i="1"/>
  <c r="CG11" i="1"/>
  <c r="CB11" i="1"/>
  <c r="BW11" i="1"/>
  <c r="BP11" i="1"/>
  <c r="BQ11" i="1" s="1"/>
  <c r="BR11" i="1" s="1"/>
  <c r="BK11" i="1"/>
  <c r="BG11" i="1"/>
  <c r="BB11" i="1"/>
  <c r="AY11" i="1"/>
  <c r="AT11" i="1"/>
  <c r="AU15" i="1" s="1"/>
  <c r="AO11" i="1"/>
  <c r="AJ11" i="1"/>
  <c r="AE11" i="1"/>
  <c r="Z11" i="1"/>
  <c r="U11" i="1"/>
  <c r="O11" i="1"/>
  <c r="P11" i="1" s="1"/>
  <c r="J11" i="1"/>
  <c r="K11" i="1" s="1"/>
  <c r="E11" i="1"/>
  <c r="GQ10" i="1"/>
  <c r="GN10" i="1"/>
  <c r="GK10" i="1"/>
  <c r="GG10" i="1"/>
  <c r="GA10" i="1"/>
  <c r="FZ10" i="1"/>
  <c r="FW10" i="1"/>
  <c r="FR10" i="1"/>
  <c r="FO10" i="1"/>
  <c r="FK10" i="1"/>
  <c r="FG10" i="1"/>
  <c r="FB10" i="1"/>
  <c r="EX10" i="1"/>
  <c r="EU10" i="1"/>
  <c r="ER10" i="1"/>
  <c r="EN10" i="1"/>
  <c r="EK10" i="1"/>
  <c r="EG10" i="1"/>
  <c r="EB10" i="1"/>
  <c r="DY10" i="1"/>
  <c r="DZ10" i="1" s="1"/>
  <c r="DU10" i="1"/>
  <c r="DR10" i="1"/>
  <c r="DM10" i="1"/>
  <c r="DK10" i="1"/>
  <c r="DH10" i="1"/>
  <c r="DE10" i="1"/>
  <c r="DB10" i="1"/>
  <c r="CW10" i="1"/>
  <c r="CT10" i="1"/>
  <c r="CN10" i="1"/>
  <c r="CK10" i="1"/>
  <c r="CG10" i="1"/>
  <c r="CB10" i="1"/>
  <c r="BW10" i="1"/>
  <c r="BP10" i="1"/>
  <c r="BQ10" i="1" s="1"/>
  <c r="BR10" i="1" s="1"/>
  <c r="BK10" i="1"/>
  <c r="BG10" i="1"/>
  <c r="BB10" i="1"/>
  <c r="AY10" i="1"/>
  <c r="AO10" i="1"/>
  <c r="AJ10" i="1"/>
  <c r="AE10" i="1"/>
  <c r="Z10" i="1"/>
  <c r="U10" i="1"/>
  <c r="O10" i="1"/>
  <c r="P10" i="1" s="1"/>
  <c r="J10" i="1"/>
  <c r="K10" i="1" s="1"/>
  <c r="E10" i="1"/>
  <c r="GQ9" i="1"/>
  <c r="GN9" i="1"/>
  <c r="GK9" i="1"/>
  <c r="GG9" i="1"/>
  <c r="GA9" i="1"/>
  <c r="FZ9" i="1"/>
  <c r="FW9" i="1"/>
  <c r="FR9" i="1"/>
  <c r="FO9" i="1"/>
  <c r="FK9" i="1"/>
  <c r="FG9" i="1"/>
  <c r="FB9" i="1"/>
  <c r="EX9" i="1"/>
  <c r="EU9" i="1"/>
  <c r="ER9" i="1"/>
  <c r="EN9" i="1"/>
  <c r="EK9" i="1"/>
  <c r="EG9" i="1"/>
  <c r="EB9" i="1"/>
  <c r="DY9" i="1"/>
  <c r="DZ9" i="1" s="1"/>
  <c r="DU9" i="1"/>
  <c r="DR9" i="1"/>
  <c r="DM9" i="1"/>
  <c r="DK9" i="1"/>
  <c r="DH9" i="1"/>
  <c r="DE9" i="1"/>
  <c r="DB9" i="1"/>
  <c r="CW9" i="1"/>
  <c r="CT9" i="1"/>
  <c r="CN9" i="1"/>
  <c r="CK9" i="1"/>
  <c r="CG9" i="1"/>
  <c r="CB9" i="1"/>
  <c r="BW9" i="1"/>
  <c r="BP9" i="1"/>
  <c r="BQ9" i="1" s="1"/>
  <c r="BR9" i="1" s="1"/>
  <c r="BK9" i="1"/>
  <c r="BG9" i="1"/>
  <c r="BB9" i="1"/>
  <c r="AY9" i="1"/>
  <c r="AO9" i="1"/>
  <c r="AJ9" i="1"/>
  <c r="AE9" i="1"/>
  <c r="Z9" i="1"/>
  <c r="U9" i="1"/>
  <c r="O9" i="1"/>
  <c r="P9" i="1" s="1"/>
  <c r="J9" i="1"/>
  <c r="K9" i="1" s="1"/>
  <c r="E9" i="1"/>
  <c r="GQ8" i="1"/>
  <c r="GN8" i="1"/>
  <c r="GK8" i="1"/>
  <c r="GG8" i="1"/>
  <c r="GA8" i="1"/>
  <c r="FZ8" i="1"/>
  <c r="FW8" i="1"/>
  <c r="FR8" i="1"/>
  <c r="FO8" i="1"/>
  <c r="FK8" i="1"/>
  <c r="FG8" i="1"/>
  <c r="FB8" i="1"/>
  <c r="EX8" i="1"/>
  <c r="EU8" i="1"/>
  <c r="ER8" i="1"/>
  <c r="EN8" i="1"/>
  <c r="EK8" i="1"/>
  <c r="EG8" i="1"/>
  <c r="EB8" i="1"/>
  <c r="DY8" i="1"/>
  <c r="DZ8" i="1" s="1"/>
  <c r="DU8" i="1"/>
  <c r="DR8" i="1"/>
  <c r="DM8" i="1"/>
  <c r="DK8" i="1"/>
  <c r="DH8" i="1"/>
  <c r="DE8" i="1"/>
  <c r="DB8" i="1"/>
  <c r="CW8" i="1"/>
  <c r="CT8" i="1"/>
  <c r="CN8" i="1"/>
  <c r="CK8" i="1"/>
  <c r="CG8" i="1"/>
  <c r="CB8" i="1"/>
  <c r="BW8" i="1"/>
  <c r="BP8" i="1"/>
  <c r="BQ8" i="1" s="1"/>
  <c r="BR8" i="1" s="1"/>
  <c r="BK8" i="1"/>
  <c r="BG8" i="1"/>
  <c r="BB8" i="1"/>
  <c r="AY8" i="1"/>
  <c r="AU8" i="1"/>
  <c r="AO8" i="1"/>
  <c r="AJ8" i="1"/>
  <c r="AE8" i="1"/>
  <c r="Z8" i="1"/>
  <c r="U8" i="1"/>
  <c r="O8" i="1"/>
  <c r="P8" i="1" s="1"/>
  <c r="J8" i="1"/>
  <c r="K8" i="1" s="1"/>
  <c r="E8" i="1"/>
  <c r="GQ7" i="1"/>
  <c r="GN7" i="1"/>
  <c r="GK7" i="1"/>
  <c r="GG7" i="1"/>
  <c r="GA7" i="1"/>
  <c r="FZ7" i="1"/>
  <c r="FW7" i="1"/>
  <c r="FR7" i="1"/>
  <c r="FO7" i="1"/>
  <c r="FK7" i="1"/>
  <c r="FG7" i="1"/>
  <c r="FB7" i="1"/>
  <c r="EX7" i="1"/>
  <c r="EU7" i="1"/>
  <c r="ER7" i="1"/>
  <c r="EN7" i="1"/>
  <c r="EK7" i="1"/>
  <c r="EG7" i="1"/>
  <c r="EB7" i="1"/>
  <c r="DY7" i="1"/>
  <c r="DZ7" i="1" s="1"/>
  <c r="DU7" i="1"/>
  <c r="DR7" i="1"/>
  <c r="DM7" i="1"/>
  <c r="DK7" i="1"/>
  <c r="DH7" i="1"/>
  <c r="DE7" i="1"/>
  <c r="DB7" i="1"/>
  <c r="CW7" i="1"/>
  <c r="CT7" i="1"/>
  <c r="CN7" i="1"/>
  <c r="CK7" i="1"/>
  <c r="CG7" i="1"/>
  <c r="CB7" i="1"/>
  <c r="BW7" i="1"/>
  <c r="BP7" i="1"/>
  <c r="BQ7" i="1" s="1"/>
  <c r="BR7" i="1" s="1"/>
  <c r="BK7" i="1"/>
  <c r="BG7" i="1"/>
  <c r="BB7" i="1"/>
  <c r="AY7" i="1"/>
  <c r="AO7" i="1"/>
  <c r="AJ7" i="1"/>
  <c r="AE7" i="1"/>
  <c r="Z7" i="1"/>
  <c r="U7" i="1"/>
  <c r="O7" i="1"/>
  <c r="P7" i="1" s="1"/>
  <c r="J7" i="1"/>
  <c r="K7" i="1" s="1"/>
  <c r="E7" i="1"/>
  <c r="GQ6" i="1"/>
  <c r="GN6" i="1"/>
  <c r="GO14" i="1" s="1"/>
  <c r="GK6" i="1"/>
  <c r="GG6" i="1"/>
  <c r="GA6" i="1"/>
  <c r="FZ6" i="1"/>
  <c r="FZ23" i="1" s="1"/>
  <c r="FW6" i="1"/>
  <c r="FR6" i="1"/>
  <c r="FO6" i="1"/>
  <c r="FP6" i="1" s="1"/>
  <c r="FK6" i="1"/>
  <c r="FL6" i="1" s="1"/>
  <c r="FG6" i="1"/>
  <c r="FH6" i="1" s="1"/>
  <c r="FB6" i="1"/>
  <c r="FC6" i="1" s="1"/>
  <c r="EX6" i="1"/>
  <c r="EU6" i="1"/>
  <c r="ER6" i="1"/>
  <c r="EN6" i="1"/>
  <c r="EO14" i="1" s="1"/>
  <c r="EK6" i="1"/>
  <c r="EG6" i="1"/>
  <c r="EH6" i="1" s="1"/>
  <c r="EB6" i="1"/>
  <c r="DY6" i="1"/>
  <c r="DZ6" i="1" s="1"/>
  <c r="DU6" i="1"/>
  <c r="DR6" i="1"/>
  <c r="DM6" i="1"/>
  <c r="DK6" i="1"/>
  <c r="DH6" i="1"/>
  <c r="DE6" i="1"/>
  <c r="DB6" i="1"/>
  <c r="CW6" i="1"/>
  <c r="CT6" i="1"/>
  <c r="CN6" i="1"/>
  <c r="CK6" i="1"/>
  <c r="CG6" i="1"/>
  <c r="CH14" i="1" s="1"/>
  <c r="CB6" i="1"/>
  <c r="BW6" i="1"/>
  <c r="BX14" i="1" s="1"/>
  <c r="BP6" i="1"/>
  <c r="BQ6" i="1" s="1"/>
  <c r="BR6" i="1" s="1"/>
  <c r="BK6" i="1"/>
  <c r="BG6" i="1"/>
  <c r="BB6" i="1"/>
  <c r="AY6" i="1"/>
  <c r="AZ6" i="1" s="1"/>
  <c r="AU6" i="1"/>
  <c r="AO6" i="1"/>
  <c r="AP12" i="1" s="1"/>
  <c r="AJ6" i="1"/>
  <c r="AE6" i="1"/>
  <c r="AF12" i="1" s="1"/>
  <c r="Z6" i="1"/>
  <c r="U6" i="1"/>
  <c r="V12" i="1" s="1"/>
  <c r="O6" i="1"/>
  <c r="P6" i="1" s="1"/>
  <c r="J6" i="1"/>
  <c r="K6" i="1" s="1"/>
  <c r="E6" i="1"/>
  <c r="F13" i="1" s="1"/>
  <c r="AA12" i="1" l="1"/>
  <c r="CL14" i="1"/>
  <c r="GB9" i="1"/>
  <c r="AU10" i="1"/>
  <c r="GB22" i="1"/>
  <c r="J23" i="1"/>
  <c r="Z23" i="1"/>
  <c r="AJ23" i="1"/>
  <c r="BP23" i="1"/>
  <c r="BQ23" i="1" s="1"/>
  <c r="BR23" i="1" s="1"/>
  <c r="BW23" i="1"/>
  <c r="CB23" i="1"/>
  <c r="CG23" i="1"/>
  <c r="FB23" i="1"/>
  <c r="L6" i="1"/>
  <c r="Q9" i="1"/>
  <c r="BS6" i="1"/>
  <c r="V7" i="1"/>
  <c r="AP7" i="1"/>
  <c r="BX7" i="1"/>
  <c r="GO7" i="1"/>
  <c r="EC13" i="1"/>
  <c r="DN14" i="1"/>
  <c r="GB14" i="1"/>
  <c r="GB17" i="1"/>
  <c r="DN18" i="1"/>
  <c r="EC18" i="1"/>
  <c r="AU12" i="1"/>
  <c r="GN23" i="1"/>
  <c r="DN6" i="1"/>
  <c r="EC6" i="1"/>
  <c r="DN7" i="1"/>
  <c r="EC7" i="1"/>
  <c r="EH7" i="1"/>
  <c r="FH13" i="1"/>
  <c r="FP13" i="1"/>
  <c r="GB7" i="1"/>
  <c r="DN8" i="1"/>
  <c r="EC8" i="1"/>
  <c r="GB8" i="1"/>
  <c r="DN9" i="1"/>
  <c r="DO15" i="1" s="1"/>
  <c r="EC9" i="1"/>
  <c r="DN10" i="1"/>
  <c r="EC10" i="1"/>
  <c r="GB10" i="1"/>
  <c r="AU11" i="1"/>
  <c r="DN11" i="1"/>
  <c r="EC11" i="1"/>
  <c r="GB11" i="1"/>
  <c r="DN12" i="1"/>
  <c r="EC12" i="1"/>
  <c r="GB12" i="1"/>
  <c r="DN13" i="1"/>
  <c r="DO13" i="1" s="1"/>
  <c r="GB13" i="1"/>
  <c r="EC14" i="1"/>
  <c r="EC15" i="1"/>
  <c r="GB15" i="1"/>
  <c r="DN16" i="1"/>
  <c r="EC16" i="1"/>
  <c r="DN19" i="1"/>
  <c r="DO19" i="1" s="1"/>
  <c r="EC19" i="1"/>
  <c r="EC20" i="1"/>
  <c r="GG23" i="1"/>
  <c r="L10" i="1"/>
  <c r="BS14" i="1"/>
  <c r="L7" i="1"/>
  <c r="AF7" i="1"/>
  <c r="AZ13" i="1"/>
  <c r="CH7" i="1"/>
  <c r="EO7" i="1"/>
  <c r="Q11" i="1"/>
  <c r="BS11" i="1"/>
  <c r="Q12" i="1"/>
  <c r="Q13" i="1"/>
  <c r="AU13" i="1"/>
  <c r="GB16" i="1"/>
  <c r="AU17" i="1"/>
  <c r="DN17" i="1"/>
  <c r="EC17" i="1"/>
  <c r="GB20" i="1"/>
  <c r="DN21" i="1"/>
  <c r="EC21" i="1"/>
  <c r="GB21" i="1"/>
  <c r="DN22" i="1"/>
  <c r="DO22" i="1" s="1"/>
  <c r="EC22" i="1"/>
  <c r="E23" i="1"/>
  <c r="U23" i="1"/>
  <c r="AE23" i="1"/>
  <c r="BG23" i="1"/>
  <c r="DO14" i="1"/>
  <c r="ED8" i="1"/>
  <c r="DO11" i="1"/>
  <c r="BS12" i="1"/>
  <c r="AK22" i="1"/>
  <c r="AK6" i="1"/>
  <c r="AK16" i="1"/>
  <c r="BL22" i="1"/>
  <c r="BL17" i="1"/>
  <c r="BL16" i="1"/>
  <c r="BL14" i="1"/>
  <c r="BL6" i="1"/>
  <c r="BL18" i="1"/>
  <c r="CC22" i="1"/>
  <c r="CC20" i="1"/>
  <c r="CC18" i="1"/>
  <c r="CC6" i="1"/>
  <c r="CC17" i="1"/>
  <c r="CC16" i="1"/>
  <c r="Q7" i="1"/>
  <c r="AA7" i="1"/>
  <c r="AK7" i="1"/>
  <c r="BS7" i="1"/>
  <c r="CC7" i="1"/>
  <c r="CL7" i="1"/>
  <c r="FC7" i="1"/>
  <c r="FC21" i="1"/>
  <c r="FC15" i="1"/>
  <c r="FL7" i="1"/>
  <c r="FL21" i="1"/>
  <c r="FL15" i="1"/>
  <c r="F8" i="1"/>
  <c r="L8" i="1"/>
  <c r="Q8" i="1"/>
  <c r="AA8" i="1"/>
  <c r="AK8" i="1"/>
  <c r="AZ8" i="1"/>
  <c r="BL8" i="1"/>
  <c r="BS8" i="1"/>
  <c r="CC8" i="1"/>
  <c r="CL8" i="1"/>
  <c r="FC8" i="1"/>
  <c r="FH8" i="1"/>
  <c r="FL8" i="1"/>
  <c r="FP8" i="1"/>
  <c r="F9" i="1"/>
  <c r="L9" i="1"/>
  <c r="V9" i="1"/>
  <c r="AA9" i="1"/>
  <c r="AF9" i="1"/>
  <c r="AK9" i="1"/>
  <c r="AP9" i="1"/>
  <c r="BS9" i="1"/>
  <c r="BX9" i="1"/>
  <c r="CC9" i="1"/>
  <c r="CH9" i="1"/>
  <c r="CL9" i="1"/>
  <c r="EO9" i="1"/>
  <c r="FC9" i="1"/>
  <c r="FL9" i="1"/>
  <c r="GO9" i="1"/>
  <c r="F10" i="1"/>
  <c r="Q10" i="1"/>
  <c r="AA10" i="1"/>
  <c r="AK10" i="1"/>
  <c r="AZ10" i="1"/>
  <c r="BL10" i="1"/>
  <c r="BS10" i="1"/>
  <c r="CC10" i="1"/>
  <c r="CL10" i="1"/>
  <c r="FC10" i="1"/>
  <c r="FH10" i="1"/>
  <c r="FL10" i="1"/>
  <c r="FP10" i="1"/>
  <c r="F11" i="1"/>
  <c r="L11" i="1"/>
  <c r="V11" i="1"/>
  <c r="AA11" i="1"/>
  <c r="AF11" i="1"/>
  <c r="AK11" i="1"/>
  <c r="AP11" i="1"/>
  <c r="AZ11" i="1"/>
  <c r="BL11" i="1"/>
  <c r="CC11" i="1"/>
  <c r="CL11" i="1"/>
  <c r="FC11" i="1"/>
  <c r="FH11" i="1"/>
  <c r="FL11" i="1"/>
  <c r="FP11" i="1"/>
  <c r="F12" i="1"/>
  <c r="L12" i="1"/>
  <c r="AK12" i="1"/>
  <c r="AZ12" i="1"/>
  <c r="BL12" i="1"/>
  <c r="CC12" i="1"/>
  <c r="CL12" i="1"/>
  <c r="FC12" i="1"/>
  <c r="FH12" i="1"/>
  <c r="FL12" i="1"/>
  <c r="FP12" i="1"/>
  <c r="L13" i="1"/>
  <c r="AA13" i="1"/>
  <c r="AK13" i="1"/>
  <c r="BL13" i="1"/>
  <c r="BS13" i="1"/>
  <c r="CC13" i="1"/>
  <c r="CL13" i="1"/>
  <c r="FC13" i="1"/>
  <c r="FL13" i="1"/>
  <c r="CC14" i="1"/>
  <c r="FC14" i="1"/>
  <c r="FL14" i="1"/>
  <c r="ED15" i="1"/>
  <c r="ED16" i="1"/>
  <c r="ED19" i="1"/>
  <c r="F22" i="1"/>
  <c r="F6" i="1"/>
  <c r="F16" i="1"/>
  <c r="Q6" i="1"/>
  <c r="Q16" i="1"/>
  <c r="AA22" i="1"/>
  <c r="AA6" i="1"/>
  <c r="AA16" i="1"/>
  <c r="BS17" i="1"/>
  <c r="BS16" i="1"/>
  <c r="CL22" i="1"/>
  <c r="CL20" i="1"/>
  <c r="CL18" i="1"/>
  <c r="CL6" i="1"/>
  <c r="CL17" i="1"/>
  <c r="CL16" i="1"/>
  <c r="GB6" i="1"/>
  <c r="F7" i="1"/>
  <c r="L21" i="1"/>
  <c r="L17" i="1"/>
  <c r="V22" i="1"/>
  <c r="V6" i="1"/>
  <c r="V16" i="1"/>
  <c r="AF22" i="1"/>
  <c r="AF6" i="1"/>
  <c r="AF16" i="1"/>
  <c r="AP22" i="1"/>
  <c r="AP6" i="1"/>
  <c r="AP16" i="1"/>
  <c r="BH22" i="1"/>
  <c r="BH17" i="1"/>
  <c r="BH16" i="1"/>
  <c r="BH14" i="1"/>
  <c r="BH6" i="1"/>
  <c r="BH18" i="1"/>
  <c r="BX22" i="1"/>
  <c r="BX20" i="1"/>
  <c r="BX18" i="1"/>
  <c r="BX6" i="1"/>
  <c r="BX17" i="1"/>
  <c r="BX16" i="1"/>
  <c r="CH22" i="1"/>
  <c r="CH20" i="1"/>
  <c r="CH18" i="1"/>
  <c r="CH6" i="1"/>
  <c r="CH17" i="1"/>
  <c r="CH16" i="1"/>
  <c r="EO22" i="1"/>
  <c r="EO20" i="1"/>
  <c r="EO18" i="1"/>
  <c r="EO6" i="1"/>
  <c r="FS6" i="1" s="1"/>
  <c r="EO17" i="1"/>
  <c r="EO16" i="1"/>
  <c r="FX22" i="1"/>
  <c r="FX20" i="1"/>
  <c r="FX19" i="1"/>
  <c r="FX18" i="1"/>
  <c r="FX17" i="1"/>
  <c r="FX16" i="1"/>
  <c r="FX14" i="1"/>
  <c r="FX6" i="1"/>
  <c r="GO22" i="1"/>
  <c r="GO19" i="1"/>
  <c r="GO20" i="1"/>
  <c r="GO18" i="1"/>
  <c r="GO6" i="1"/>
  <c r="GO17" i="1"/>
  <c r="GO16" i="1"/>
  <c r="AZ7" i="1"/>
  <c r="AZ21" i="1"/>
  <c r="BH7" i="1"/>
  <c r="BL7" i="1"/>
  <c r="FH7" i="1"/>
  <c r="FH21" i="1"/>
  <c r="FH15" i="1"/>
  <c r="FP7" i="1"/>
  <c r="FP21" i="1"/>
  <c r="FP15" i="1"/>
  <c r="FX7" i="1"/>
  <c r="V8" i="1"/>
  <c r="AF8" i="1"/>
  <c r="AP8" i="1"/>
  <c r="BH8" i="1"/>
  <c r="BX8" i="1"/>
  <c r="CH8" i="1"/>
  <c r="EH8" i="1"/>
  <c r="EO8" i="1"/>
  <c r="FX8" i="1"/>
  <c r="GO8" i="1"/>
  <c r="AZ9" i="1"/>
  <c r="BH9" i="1"/>
  <c r="BL9" i="1"/>
  <c r="EH9" i="1"/>
  <c r="FH9" i="1"/>
  <c r="FP9" i="1"/>
  <c r="FX9" i="1"/>
  <c r="V10" i="1"/>
  <c r="AF10" i="1"/>
  <c r="AP10" i="1"/>
  <c r="BH10" i="1"/>
  <c r="BX10" i="1"/>
  <c r="CH10" i="1"/>
  <c r="EH10" i="1"/>
  <c r="EO10" i="1"/>
  <c r="FX10" i="1"/>
  <c r="GO10" i="1"/>
  <c r="BH11" i="1"/>
  <c r="BX11" i="1"/>
  <c r="CH11" i="1"/>
  <c r="EH11" i="1"/>
  <c r="EO11" i="1"/>
  <c r="FX11" i="1"/>
  <c r="GO11" i="1"/>
  <c r="BH12" i="1"/>
  <c r="BX12" i="1"/>
  <c r="CH12" i="1"/>
  <c r="EH12" i="1"/>
  <c r="EO12" i="1"/>
  <c r="FX12" i="1"/>
  <c r="GO12" i="1"/>
  <c r="ED13" i="1"/>
  <c r="F14" i="1"/>
  <c r="L14" i="1"/>
  <c r="Q14" i="1"/>
  <c r="V14" i="1"/>
  <c r="AA14" i="1"/>
  <c r="AF14" i="1"/>
  <c r="AK14" i="1"/>
  <c r="AP14" i="1"/>
  <c r="F15" i="1"/>
  <c r="L15" i="1"/>
  <c r="Q15" i="1"/>
  <c r="AA15" i="1"/>
  <c r="AK15" i="1"/>
  <c r="AZ15" i="1"/>
  <c r="BL15" i="1"/>
  <c r="BS15" i="1"/>
  <c r="CC15" i="1"/>
  <c r="ED17" i="1"/>
  <c r="DO21" i="1"/>
  <c r="GC21" i="1"/>
  <c r="CL15" i="1"/>
  <c r="L16" i="1"/>
  <c r="FC16" i="1"/>
  <c r="FL16" i="1"/>
  <c r="F17" i="1"/>
  <c r="Q17" i="1"/>
  <c r="AA17" i="1"/>
  <c r="AK17" i="1"/>
  <c r="FC17" i="1"/>
  <c r="FL17" i="1"/>
  <c r="V18" i="1"/>
  <c r="AF18" i="1"/>
  <c r="AP18" i="1"/>
  <c r="AZ18" i="1"/>
  <c r="BS18" i="1"/>
  <c r="ED18" i="1"/>
  <c r="EH18" i="1"/>
  <c r="L19" i="1"/>
  <c r="BH19" i="1"/>
  <c r="BS19" i="1"/>
  <c r="ED20" i="1"/>
  <c r="F21" i="1"/>
  <c r="Q21" i="1"/>
  <c r="AA21" i="1"/>
  <c r="AK21" i="1"/>
  <c r="AU21" i="1"/>
  <c r="BL21" i="1"/>
  <c r="BS21" i="1"/>
  <c r="CC21" i="1"/>
  <c r="CL21" i="1"/>
  <c r="Q22" i="1"/>
  <c r="AZ22" i="1"/>
  <c r="FH22" i="1"/>
  <c r="FP22" i="1"/>
  <c r="GC22" i="1"/>
  <c r="O23" i="1"/>
  <c r="AZ20" i="1"/>
  <c r="AZ19" i="1"/>
  <c r="EH21" i="1"/>
  <c r="FC19" i="1"/>
  <c r="FH19" i="1"/>
  <c r="FL19" i="1"/>
  <c r="FO23" i="1"/>
  <c r="FP19" i="1"/>
  <c r="GA23" i="1"/>
  <c r="GB23" i="1" s="1"/>
  <c r="AU7" i="1"/>
  <c r="AU9" i="1"/>
  <c r="AU22" i="1"/>
  <c r="AU20" i="1"/>
  <c r="AU19" i="1"/>
  <c r="AU16" i="1"/>
  <c r="AU14" i="1"/>
  <c r="V13" i="1"/>
  <c r="AF13" i="1"/>
  <c r="AP13" i="1"/>
  <c r="BH13" i="1"/>
  <c r="BX13" i="1"/>
  <c r="CH13" i="1"/>
  <c r="EH13" i="1"/>
  <c r="EO13" i="1"/>
  <c r="FX13" i="1"/>
  <c r="GO13" i="1"/>
  <c r="AZ14" i="1"/>
  <c r="EH14" i="1"/>
  <c r="FH14" i="1"/>
  <c r="FP14" i="1"/>
  <c r="V15" i="1"/>
  <c r="AF15" i="1"/>
  <c r="AP15" i="1"/>
  <c r="BH15" i="1"/>
  <c r="BX15" i="1"/>
  <c r="CH15" i="1"/>
  <c r="EH15" i="1"/>
  <c r="EO15" i="1"/>
  <c r="FX15" i="1"/>
  <c r="GO15" i="1"/>
  <c r="AZ16" i="1"/>
  <c r="EH16" i="1"/>
  <c r="FH16" i="1"/>
  <c r="FP16" i="1"/>
  <c r="V17" i="1"/>
  <c r="AF17" i="1"/>
  <c r="AP17" i="1"/>
  <c r="AZ17" i="1"/>
  <c r="EH17" i="1"/>
  <c r="FH17" i="1"/>
  <c r="FP17" i="1"/>
  <c r="L18" i="1"/>
  <c r="FH18" i="1"/>
  <c r="FP18" i="1"/>
  <c r="GC18" i="1"/>
  <c r="V19" i="1"/>
  <c r="AF19" i="1"/>
  <c r="AP19" i="1"/>
  <c r="BX19" i="1"/>
  <c r="CH19" i="1"/>
  <c r="EH19" i="1"/>
  <c r="EO19" i="1"/>
  <c r="L20" i="1"/>
  <c r="BH20" i="1"/>
  <c r="BS20" i="1"/>
  <c r="F18" i="1"/>
  <c r="Q18" i="1"/>
  <c r="AA18" i="1"/>
  <c r="AK18" i="1"/>
  <c r="AU18" i="1"/>
  <c r="FC18" i="1"/>
  <c r="FL18" i="1"/>
  <c r="F19" i="1"/>
  <c r="Q19" i="1"/>
  <c r="AA19" i="1"/>
  <c r="AK19" i="1"/>
  <c r="BL19" i="1"/>
  <c r="CC19" i="1"/>
  <c r="CL19" i="1"/>
  <c r="GC19" i="1"/>
  <c r="V20" i="1"/>
  <c r="AF20" i="1"/>
  <c r="AP20" i="1"/>
  <c r="FC20" i="1"/>
  <c r="FL20" i="1"/>
  <c r="ED21" i="1"/>
  <c r="F20" i="1"/>
  <c r="Q20" i="1"/>
  <c r="AA20" i="1"/>
  <c r="AK20" i="1"/>
  <c r="BL20" i="1"/>
  <c r="EH20" i="1"/>
  <c r="FH20" i="1"/>
  <c r="FP20" i="1"/>
  <c r="V21" i="1"/>
  <c r="AF21" i="1"/>
  <c r="AP21" i="1"/>
  <c r="BH21" i="1"/>
  <c r="BX21" i="1"/>
  <c r="CH21" i="1"/>
  <c r="EO21" i="1"/>
  <c r="FX21" i="1"/>
  <c r="GO21" i="1"/>
  <c r="L22" i="1"/>
  <c r="BS22" i="1"/>
  <c r="ED22" i="1"/>
  <c r="EH22" i="1"/>
  <c r="FC22" i="1"/>
  <c r="FL22" i="1"/>
  <c r="P23" i="1"/>
  <c r="DO18" i="1" l="1"/>
  <c r="DO12" i="1"/>
  <c r="DO7" i="1"/>
  <c r="DO17" i="1"/>
  <c r="DO10" i="1"/>
  <c r="ED11" i="1"/>
  <c r="ED10" i="1"/>
  <c r="ED9" i="1"/>
  <c r="DO8" i="1"/>
  <c r="DO20" i="1"/>
  <c r="GR21" i="1"/>
  <c r="FS15" i="1"/>
  <c r="FS13" i="1"/>
  <c r="FS12" i="1"/>
  <c r="FS10" i="1"/>
  <c r="CO9" i="1"/>
  <c r="CO14" i="1"/>
  <c r="ED14" i="1"/>
  <c r="ED12" i="1"/>
  <c r="DO9" i="1"/>
  <c r="DO16" i="1"/>
  <c r="DO6" i="1"/>
  <c r="FS20" i="1"/>
  <c r="CO20" i="1"/>
  <c r="FS7" i="1"/>
  <c r="ED7" i="1"/>
  <c r="ED6" i="1"/>
  <c r="CO6" i="1"/>
  <c r="CO16" i="1"/>
  <c r="BC13" i="1"/>
  <c r="FS22" i="1"/>
  <c r="CO21" i="1"/>
  <c r="BC18" i="1"/>
  <c r="BC20" i="1"/>
  <c r="BC19" i="1"/>
  <c r="FS19" i="1"/>
  <c r="FS16" i="1"/>
  <c r="CO15" i="1"/>
  <c r="FS14" i="1"/>
  <c r="CO13" i="1"/>
  <c r="BC21" i="1"/>
  <c r="BC17" i="1"/>
  <c r="BC15" i="1"/>
  <c r="BC14" i="1"/>
  <c r="CO12" i="1"/>
  <c r="FS11" i="1"/>
  <c r="CO10" i="1"/>
  <c r="FS8" i="1"/>
  <c r="CO7" i="1"/>
  <c r="GR18" i="1"/>
  <c r="CO18" i="1"/>
  <c r="CO17" i="1"/>
  <c r="GC20" i="1"/>
  <c r="GR20" i="1" s="1"/>
  <c r="GC6" i="1"/>
  <c r="GR6" i="1" s="1"/>
  <c r="GC17" i="1"/>
  <c r="GC16" i="1"/>
  <c r="GR16" i="1" s="1"/>
  <c r="GC14" i="1"/>
  <c r="GC9" i="1"/>
  <c r="GR9" i="1" s="1"/>
  <c r="GC7" i="1"/>
  <c r="BC6" i="1"/>
  <c r="GC15" i="1"/>
  <c r="BC11" i="1"/>
  <c r="GC13" i="1"/>
  <c r="GC12" i="1"/>
  <c r="GR12" i="1" s="1"/>
  <c r="GC10" i="1"/>
  <c r="GC8" i="1"/>
  <c r="GR8" i="1" s="1"/>
  <c r="FS17" i="1"/>
  <c r="GR15" i="1"/>
  <c r="GR13" i="1"/>
  <c r="FS21" i="1"/>
  <c r="CO19" i="1"/>
  <c r="FS18" i="1"/>
  <c r="CO11" i="1"/>
  <c r="GR10" i="1"/>
  <c r="FS9" i="1"/>
  <c r="CO8" i="1"/>
  <c r="GR7" i="1"/>
  <c r="GR14" i="1"/>
  <c r="GR17" i="1"/>
  <c r="GR19" i="1"/>
  <c r="GR22" i="1"/>
  <c r="CO22" i="1"/>
  <c r="CP22" i="1" s="1"/>
  <c r="BC7" i="1"/>
  <c r="BC16" i="1"/>
  <c r="BC22" i="1"/>
  <c r="BC12" i="1"/>
  <c r="BC10" i="1"/>
  <c r="BC9" i="1"/>
  <c r="BD9" i="1" s="1"/>
  <c r="BC8" i="1"/>
  <c r="GC11" i="1"/>
  <c r="GR11" i="1" s="1"/>
  <c r="FT9" i="1" l="1"/>
  <c r="GT9" i="1" s="1"/>
  <c r="GS11" i="1"/>
  <c r="BD12" i="1"/>
  <c r="CP9" i="1"/>
  <c r="BD13" i="1"/>
  <c r="CP14" i="1"/>
  <c r="GS12" i="1"/>
  <c r="GS16" i="1"/>
  <c r="GS8" i="1"/>
  <c r="GS9" i="1"/>
  <c r="GS6" i="1"/>
  <c r="GS21" i="1"/>
  <c r="BD16" i="1"/>
  <c r="CP6" i="1"/>
  <c r="GS14" i="1"/>
  <c r="BD8" i="1"/>
  <c r="BD10" i="1"/>
  <c r="BD22" i="1"/>
  <c r="BD7" i="1"/>
  <c r="CP16" i="1"/>
  <c r="GS22" i="1"/>
  <c r="GS17" i="1"/>
  <c r="GS7" i="1"/>
  <c r="FT10" i="1"/>
  <c r="CP11" i="1"/>
  <c r="CP19" i="1"/>
  <c r="FT13" i="1"/>
  <c r="FT15" i="1"/>
  <c r="FT17" i="1"/>
  <c r="FT20" i="1"/>
  <c r="FT6" i="1"/>
  <c r="GS18" i="1"/>
  <c r="FT8" i="1"/>
  <c r="FT11" i="1"/>
  <c r="CP12" i="1"/>
  <c r="BD15" i="1"/>
  <c r="BD21" i="1"/>
  <c r="FT14" i="1"/>
  <c r="FT16" i="1"/>
  <c r="BD19" i="1"/>
  <c r="BD18" i="1"/>
  <c r="GS19" i="1"/>
  <c r="CP8" i="1"/>
  <c r="GS10" i="1"/>
  <c r="FT12" i="1"/>
  <c r="FT18" i="1"/>
  <c r="FT21" i="1"/>
  <c r="GS13" i="1"/>
  <c r="GS15" i="1"/>
  <c r="CP20" i="1"/>
  <c r="BD11" i="1"/>
  <c r="BD6" i="1"/>
  <c r="CP17" i="1"/>
  <c r="CP18" i="1"/>
  <c r="GS20" i="1"/>
  <c r="CP7" i="1"/>
  <c r="CP10" i="1"/>
  <c r="BD14" i="1"/>
  <c r="GT14" i="1" s="1"/>
  <c r="BD17" i="1"/>
  <c r="CP13" i="1"/>
  <c r="CP15" i="1"/>
  <c r="FT19" i="1"/>
  <c r="BD20" i="1"/>
  <c r="GT20" i="1" s="1"/>
  <c r="CP21" i="1"/>
  <c r="FT22" i="1"/>
  <c r="FT7" i="1"/>
  <c r="GT6" i="1" l="1"/>
  <c r="GT11" i="1"/>
  <c r="GT13" i="1"/>
  <c r="GT17" i="1"/>
  <c r="GT12" i="1"/>
  <c r="GT19" i="1"/>
  <c r="GT22" i="1"/>
  <c r="GT8" i="1"/>
  <c r="GT18" i="1"/>
  <c r="GT21" i="1"/>
  <c r="GT7" i="1"/>
  <c r="GT10" i="1"/>
  <c r="GT16" i="1"/>
  <c r="GU8" i="1" l="1"/>
  <c r="GU16" i="1"/>
  <c r="GU7" i="1"/>
  <c r="GU10" i="1"/>
  <c r="GU21" i="1"/>
  <c r="GU6" i="1"/>
  <c r="GU15" i="1"/>
  <c r="GU9" i="1"/>
  <c r="GU17" i="1"/>
  <c r="GU12" i="1"/>
  <c r="GU18" i="1"/>
  <c r="GU14" i="1"/>
  <c r="GU22" i="1"/>
  <c r="GU19" i="1"/>
  <c r="GU11" i="1"/>
  <c r="GU20" i="1"/>
  <c r="GU13" i="1"/>
</calcChain>
</file>

<file path=xl/sharedStrings.xml><?xml version="1.0" encoding="utf-8"?>
<sst xmlns="http://schemas.openxmlformats.org/spreadsheetml/2006/main" count="305" uniqueCount="180">
  <si>
    <t>№ п/п</t>
  </si>
  <si>
    <t>Наименование поселения</t>
  </si>
  <si>
    <t>%</t>
  </si>
  <si>
    <t>Бершетское</t>
  </si>
  <si>
    <t>Гамовское</t>
  </si>
  <si>
    <t>Двуреченское</t>
  </si>
  <si>
    <t>Заболотское</t>
  </si>
  <si>
    <t>Кондратовское</t>
  </si>
  <si>
    <t>Кукуштанское</t>
  </si>
  <si>
    <t>Култаевское</t>
  </si>
  <si>
    <t>Лобановское</t>
  </si>
  <si>
    <t>Пальниковское</t>
  </si>
  <si>
    <t>Платошинское</t>
  </si>
  <si>
    <t>Савинское</t>
  </si>
  <si>
    <t>Сылвенское</t>
  </si>
  <si>
    <t>Усть-Качкинское</t>
  </si>
  <si>
    <t>Фроловское</t>
  </si>
  <si>
    <t>Хохловское</t>
  </si>
  <si>
    <t>Юго-Камское</t>
  </si>
  <si>
    <t>Юговское</t>
  </si>
  <si>
    <t>Итого</t>
  </si>
  <si>
    <t>Среднесписочная численность работников</t>
  </si>
  <si>
    <t>место</t>
  </si>
  <si>
    <t>начислено (тыс.руб.)</t>
  </si>
  <si>
    <t>оплачено (тыс.руб.)</t>
  </si>
  <si>
    <t>Место территорий                                         по итоговому рейтингу</t>
  </si>
  <si>
    <t>1.1. Темп прироста налоговых и неналоговых доходов</t>
  </si>
  <si>
    <t>2.2. Уровень роста (снижения) участия поселения в культурно-досуговых и спортивных мероприятий</t>
  </si>
  <si>
    <t>2.3. Соблюдение размера среднемесячной заработной платы работников муниципальных учреждений культуры, физической культуры и спорта, предусмотренных Указами Президента</t>
  </si>
  <si>
    <t>3.2. Объем задолженности за жилищно-комунальные услуги по пустующему муниципальному жилищному фонду</t>
  </si>
  <si>
    <t>3. Развитие инфраструктуры</t>
  </si>
  <si>
    <t>1. Управление муниципальными финансами</t>
  </si>
  <si>
    <t>2. Развитие человеческого потенциала</t>
  </si>
  <si>
    <t>5.1. Исполнительская дисциплина</t>
  </si>
  <si>
    <t>5. Развитие территории</t>
  </si>
  <si>
    <t>6.1. Доля исправных источников противопожарного водоснабжения</t>
  </si>
  <si>
    <t>6. Обеспечение безопасности</t>
  </si>
  <si>
    <t xml:space="preserve">Итоговая сумма рейтинга      </t>
  </si>
  <si>
    <t>1.2. Исполнение плана по налоговым и неналоговым доходам</t>
  </si>
  <si>
    <t>1.3. Объем федеральных и краевых средств, привлеченных поселением на софинансирование мероприятий в расчете на 1 жителя</t>
  </si>
  <si>
    <t>1.4. Исполнение плана по расходам</t>
  </si>
  <si>
    <t>2.1. Темпы прироста численности населения</t>
  </si>
  <si>
    <t>Общее количество объектов культуры и спорта, административных объектов, находящихся в собственности поселения</t>
  </si>
  <si>
    <t>2.5. Организация трудовой занятости несовершеннолетних в возрасте от 14 до 17 лет</t>
  </si>
  <si>
    <t>2.6. Доля объектов культуры и спорта, административных объектов, находящихся в собственности поселения, доступных для маломобильных групп населения</t>
  </si>
  <si>
    <t>Площадь сельского поселения (кв. м)</t>
  </si>
  <si>
    <t>Площади земли сельского поселения, занятых несанкционированными свалками  (кв. м)</t>
  </si>
  <si>
    <t>3.3. Доля площади земли сельского поселения, занятых несанкционированными свалками на территории сельского поселения</t>
  </si>
  <si>
    <t>4. Управление ресурсами</t>
  </si>
  <si>
    <t>5.3. Оценка степени доступности информации о деятельности органов местного самоуправления поселения в сети "интернет" на официальных сайтах органов местного самоуправления (в соответствии с требованиями Федерального закона от 09.02.2009 №8-ФЗ "Об обеспечении доступа к информации о деятельности государственных органов и органов местного самоуправления")</t>
  </si>
  <si>
    <t>Размещение на официальном сайте ОМС основных параметров местного бюджета в формате "Бюджет для граждан"</t>
  </si>
  <si>
    <t>Размешение на официальном сайте решение о бюджете</t>
  </si>
  <si>
    <t>5.5. Размещение на официальном сайте ОМС основных параметров местного бюджета в формате "Бюджет для граждан"</t>
  </si>
  <si>
    <t>Количество созданных территориальных общественных самоуправлений (ТОС)</t>
  </si>
  <si>
    <t>Кол. не представленных документов и материалов, прилагаемых к проекту решения о бюджете</t>
  </si>
  <si>
    <t>5.7. Соблюдение порядка и условий представления проекта решения о бюджете, установленным нормативным правовым актом (Положением о бюджетном процессе) сельского поселения (в соответствии с бюджетным законодательством)</t>
  </si>
  <si>
    <t>6.2. Темпы роста (снижения) уровня преступности</t>
  </si>
  <si>
    <t>План</t>
  </si>
  <si>
    <t>Факт</t>
  </si>
  <si>
    <t>Количество пожаров на территории поселения в черте населенного пункта</t>
  </si>
  <si>
    <t>6.4. Количество пожаров на территории поселения в черте населенного пункта</t>
  </si>
  <si>
    <t>6.5. Количество погибших на пожарах в черте населенного пункта</t>
  </si>
  <si>
    <t xml:space="preserve">Количество погибших на пожарах </t>
  </si>
  <si>
    <t>2.4. Темпы роста (снижения) количества детей, находящихся в социально опасном положении</t>
  </si>
  <si>
    <t xml:space="preserve">6.3. Исполнение плана по постановке граждан на первичный воинский учёт </t>
  </si>
  <si>
    <t>5=4/3*100</t>
  </si>
  <si>
    <t>26=25/24*100</t>
  </si>
  <si>
    <t xml:space="preserve">% </t>
  </si>
  <si>
    <t xml:space="preserve">* несоблюдения с/п в течение отчетного финансового года бюджетного законодательства в соответствии со ст. 136 Бюджетного Кодекса РФ; </t>
  </si>
  <si>
    <t xml:space="preserve">* нецелевого и(или) незаконного расходования с/п бюджетных средств более одного миллиона руб., выявленного за отчетный финансовый год, </t>
  </si>
  <si>
    <t>не позднее даты подведения итогов конкурса.</t>
  </si>
  <si>
    <t xml:space="preserve">Конкурсная комиссия принимает решение об отстранении участников конкурса от участия в конкурсе в случае: </t>
  </si>
  <si>
    <t>на 1 жителя, тыс. руб.</t>
  </si>
  <si>
    <t>Объем федеральных и краевых средств, привлеченных поселением на софинансирование, тыс. руб.</t>
  </si>
  <si>
    <t>Численность, чел.</t>
  </si>
  <si>
    <t>Среднемесячная з/п, руб.</t>
  </si>
  <si>
    <t>Процент от числа опрошенных</t>
  </si>
  <si>
    <t>Уровень преступности на 1000 чел. в отчетном периоде</t>
  </si>
  <si>
    <t>Кол-во погибших на 1000 человек</t>
  </si>
  <si>
    <t>Кол-во источников, готовых к забору воды</t>
  </si>
  <si>
    <t>Общее кол-во источников наружного противопожарного водоснабжения</t>
  </si>
  <si>
    <t>Общее количество несовершеннолетних от 14 до 17 лет</t>
  </si>
  <si>
    <t>Количество объектов культуры и спорта, административных объектов доступных для маломобильных групп</t>
  </si>
  <si>
    <t xml:space="preserve">3.1. Уровень сбора платежей за жилищно-коммунальные услуги от населения                                                    </t>
  </si>
  <si>
    <t>Количество детей, находящихся в социально опасном положении в отчетном периоде</t>
  </si>
  <si>
    <t>Количество детей, находящихся в социально опасном положении в базисном периоде</t>
  </si>
  <si>
    <t>Кол-во полной, достоверной и в срок сданной отчетности</t>
  </si>
  <si>
    <t>Уровень преступности на 1000 чел. в базисном периоде</t>
  </si>
  <si>
    <t>3.4 Объем задолженности за ТЭР</t>
  </si>
  <si>
    <t>3.5 Уровень собираемости взносов на капитальный ремонт</t>
  </si>
  <si>
    <t>Количество доступной информации о деятельности органов местного самоуправления в сети "интернет", баллы</t>
  </si>
  <si>
    <t>5.8. Прирост количества субъектов малого предпринимательства</t>
  </si>
  <si>
    <t>5.9. Количество составленных протоколов об административных правонарушениях</t>
  </si>
  <si>
    <t>5.6. Количество созданных территориальных общественных самоуправлений               (ТОС)</t>
  </si>
  <si>
    <t>5.2 Удовлетворенность населения деятельностью администрации сельского поселения</t>
  </si>
  <si>
    <t>Кол. документов и материалов прилагаемых к проекту решения о бюджете</t>
  </si>
  <si>
    <t>Кол. несовершеннолетних, трудоустроенных администрацией с/п</t>
  </si>
  <si>
    <t xml:space="preserve">Факт.расх. (без учета субвенций и иных МБТ, имеющих целевое назначение),   тыс. руб. </t>
  </si>
  <si>
    <t>Расх.на сод. орг.местн.самоуправлен.,           тыс. руб.</t>
  </si>
  <si>
    <t xml:space="preserve">Общий объем расходов,    тыс. руб. </t>
  </si>
  <si>
    <t>Расходы бюджета развития,  тыс. руб.</t>
  </si>
  <si>
    <t xml:space="preserve">Кредит. задолжен.,   тыс. руб. </t>
  </si>
  <si>
    <t>Годовой план по расходам бюджета,   тыс. руб.</t>
  </si>
  <si>
    <t>Кол-во мероприятийв которых поселения принимали участие</t>
  </si>
  <si>
    <t>Фонд начисленной з/пл работников мун. учрежд. культуры,      тыс. руб.</t>
  </si>
  <si>
    <t>Сумма зад-ти по пустующему мун-му жилью,       тыс. руб</t>
  </si>
  <si>
    <t>Объем задолженности за ТЭР в расчете на 1 жителя,       тыс. руб</t>
  </si>
  <si>
    <t>Уровень собираемости взносов на капитальный ремонт, %</t>
  </si>
  <si>
    <t>Количество составленных протоколов на 1000 жителей, ед.</t>
  </si>
  <si>
    <t>Количество СМП на 1000 чел. населения в отчетном периоде, ед.</t>
  </si>
  <si>
    <t>Количество СМП на 1000 чел. населения в базисном периоде,   ед.</t>
  </si>
  <si>
    <t xml:space="preserve"> Расчет показателей для Конкурса по достижению наиболее результативных значений управленческой деятельности органов местного самоуправления сельских поселений Пермского муниципального района за 2018 год </t>
  </si>
  <si>
    <t>Факт на 01.01.18,     тыс. руб.</t>
  </si>
  <si>
    <t>Факт на 01.01.19,    тыс. руб.</t>
  </si>
  <si>
    <t>весовой коэффициент</t>
  </si>
  <si>
    <t>10=9/8*100</t>
  </si>
  <si>
    <t>1.5. Доля расходов на содержание ОМСУ поселений</t>
  </si>
  <si>
    <t xml:space="preserve">1.6. Доля расходов бюджетов развития в общем объеме расходов бюджетов поселений </t>
  </si>
  <si>
    <t xml:space="preserve">1.7. Уровень кредиторской задолженности  </t>
  </si>
  <si>
    <t>1.8. Удельный вес невыясненных поступлений в объеме налоговых и неналоговых доходов на отчетную дату</t>
  </si>
  <si>
    <t>1.9. Доля закупок в учреждениях и предприятиях уголовно-исправительной системы</t>
  </si>
  <si>
    <t>Общий объем расходов на закупку товаров, работ и услуг</t>
  </si>
  <si>
    <t>Фактический объем закупок в учреждениях и предприятиях уголовно-исправительной системы</t>
  </si>
  <si>
    <t>1.10. Степень активности поселений по взаимодействию с Государственной информационной системой о государственных и муниципальных платежах</t>
  </si>
  <si>
    <t>Фактическая сумма начислений, ораженных в отчете об исполнении бюджета поселения за отчетный год</t>
  </si>
  <si>
    <t>Сумма начислений, выгруженных за отчетный период с системе ГИС ГМП</t>
  </si>
  <si>
    <t>16=14/15</t>
  </si>
  <si>
    <t>21=20/19*100</t>
  </si>
  <si>
    <t>31=30/29*100</t>
  </si>
  <si>
    <t>41=39/40*100</t>
  </si>
  <si>
    <t>46=45/44*100</t>
  </si>
  <si>
    <t>51=50/49*100</t>
  </si>
  <si>
    <t>36=34/35*100</t>
  </si>
  <si>
    <t>макс.значение вес. коэффициента</t>
  </si>
  <si>
    <t>Численность на 01.01.2018, чел.</t>
  </si>
  <si>
    <t>Численность   на 01.01.2019, чел.</t>
  </si>
  <si>
    <t>59=58/57*100</t>
  </si>
  <si>
    <t>2.7. Исполнение требований Федерального закона от 27.10.2010 №210-ФЗ</t>
  </si>
  <si>
    <t>Количество запросов на 1000 жителей</t>
  </si>
  <si>
    <t>74=72/73*100</t>
  </si>
  <si>
    <t>79=77/78*100</t>
  </si>
  <si>
    <t>84=82/83*100</t>
  </si>
  <si>
    <t>3.6. Оценка деятельности сельского поселения по благоустройству, уборке и озеленению территорий сельских поселений</t>
  </si>
  <si>
    <t>Оценка в соответствии с Порядком, утвержденным распоряжением администрации ПМР</t>
  </si>
  <si>
    <t>4.1. Размещение программ комплексного развития социальной, инженерной и транспортной инфра структуры в актуальной редакции в установленные действующим законодательством сроки в государственной информационной системе документов территориального планирования*</t>
  </si>
  <si>
    <t>4.2. Размещение сведений в федеральной информационной адресной системе в установленные действующим законодательством сроки</t>
  </si>
  <si>
    <t xml:space="preserve">колическво размещенных документов </t>
  </si>
  <si>
    <t>коэффициент размещения</t>
  </si>
  <si>
    <t>Общее количество документов</t>
  </si>
  <si>
    <t>Количество документов о постановке на государственный кадастровый учет и государственной регистрации прав, поданных в форме электронного документа</t>
  </si>
  <si>
    <t>размещение сведений в срок (1-в срок, 0- не всрок)</t>
  </si>
  <si>
    <t>5.10. Количество лиц, привлеченных к административной ответственности</t>
  </si>
  <si>
    <t>Количество лиц, привлеченных к адм. отв-ти всего за 2018 год, ед.</t>
  </si>
  <si>
    <t>Количество лиц, привлеченных к адм. отв-ти на 1000 жителей соответствующего сп ПМР</t>
  </si>
  <si>
    <t>План 2018г.,   тыс. руб.</t>
  </si>
  <si>
    <t>Факт 2018г,   тыс. руб.</t>
  </si>
  <si>
    <t>План  2018г.,  тыс. руб.</t>
  </si>
  <si>
    <t>Факт 2018г.,  тыс. руб.</t>
  </si>
  <si>
    <t>Фактический объем налоговых и неналоговых доходов за 2018,   тыс. руб.</t>
  </si>
  <si>
    <t>Cредняя величина фактического объема невыясненных поступлений 2018,        тыс. руб.</t>
  </si>
  <si>
    <t>Отклонение з/пл. от з/пл. установленной в дор. карте (32795,6 руб.),%</t>
  </si>
  <si>
    <t xml:space="preserve"> 5.4. Размещение на официальном сайте органа местного самоуправления решения о бюджете (публикация информации по состоянию на 1 марта года следующего за отчетным)*    </t>
  </si>
  <si>
    <t>Количество составленных протоколов всего за 2018 год, ед.</t>
  </si>
  <si>
    <t xml:space="preserve">               </t>
  </si>
  <si>
    <t xml:space="preserve"> </t>
  </si>
  <si>
    <t>Количество отчетов всего</t>
  </si>
  <si>
    <t>Место по 1 направлению</t>
  </si>
  <si>
    <t>Место по 2 направлению</t>
  </si>
  <si>
    <t>Место по 3 направлению</t>
  </si>
  <si>
    <t>Место по 4 направлению</t>
  </si>
  <si>
    <t>Место по 5 направлению</t>
  </si>
  <si>
    <t>Место по 6 направлению</t>
  </si>
  <si>
    <r>
      <t xml:space="preserve">4.3. Доля документов, направленных для осуществления государственного кадастрового учета и государственной регистрации прав исключительно в электронном виде  </t>
    </r>
    <r>
      <rPr>
        <b/>
        <sz val="10"/>
        <color rgb="FFFF0000"/>
        <rFont val="Times New Roman"/>
        <family val="1"/>
        <charset val="204"/>
      </rPr>
      <t>нет технической возможности в предоставлении информации</t>
    </r>
  </si>
  <si>
    <t>Рейтинг по 1 направлению</t>
  </si>
  <si>
    <t>Рейтинг по 2 направлению</t>
  </si>
  <si>
    <t>Рейтинг по 3 направлению</t>
  </si>
  <si>
    <t>Рейтинг по 4 направлению</t>
  </si>
  <si>
    <t>Рейтинг по 5 направлению</t>
  </si>
  <si>
    <t>Рейтинг по 6 направлению</t>
  </si>
  <si>
    <t>Количество запросов, направленных поселением в системе МЭВ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</si>
</sst>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00"/>
    <numFmt numFmtId="165" formatCode="0.000000"/>
    <numFmt numFmtId="166" formatCode="0.000"/>
    <numFmt numFmtId="167" formatCode="0.0"/>
    <numFmt numFmtId="168" formatCode="0.00000000"/>
    <numFmt numFmtId="169" formatCode="0.0000"/>
  </numFmts>
  <fonts count="29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 Cyr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Arial Cyr"/>
      <charset val="204"/>
    </font>
    <font>
      <sz val="14"/>
      <color theme="1"/>
      <name val="Calibri"/>
      <family val="2"/>
      <charset val="204"/>
      <scheme val="minor"/>
    </font>
    <font>
      <b/>
      <i/>
      <sz val="9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color rgb="FFFF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2E3BB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8" fillId="0" borderId="0"/>
    <xf numFmtId="0" fontId="8" fillId="0" borderId="0"/>
    <xf numFmtId="9" fontId="7" fillId="0" borderId="0" applyFont="0" applyFill="0" applyBorder="0" applyAlignment="0" applyProtection="0"/>
    <xf numFmtId="0" fontId="8" fillId="0" borderId="0"/>
    <xf numFmtId="0" fontId="21" fillId="0" borderId="0"/>
    <xf numFmtId="0" fontId="21" fillId="0" borderId="7">
      <alignment horizontal="center" vertical="center" wrapText="1"/>
    </xf>
  </cellStyleXfs>
  <cellXfs count="165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left" vertical="top" wrapText="1"/>
    </xf>
    <xf numFmtId="0" fontId="3" fillId="0" borderId="0" xfId="0" applyFont="1" applyFill="1"/>
    <xf numFmtId="0" fontId="3" fillId="2" borderId="0" xfId="0" applyFont="1" applyFill="1"/>
    <xf numFmtId="0" fontId="1" fillId="2" borderId="0" xfId="0" applyFont="1" applyFill="1"/>
    <xf numFmtId="0" fontId="1" fillId="0" borderId="0" xfId="0" applyFont="1" applyFill="1" applyAlignment="1">
      <alignment vertical="top"/>
    </xf>
    <xf numFmtId="0" fontId="1" fillId="0" borderId="0" xfId="0" applyFont="1" applyFill="1" applyBorder="1"/>
    <xf numFmtId="0" fontId="0" fillId="0" borderId="0" xfId="0" applyAlignment="1"/>
    <xf numFmtId="0" fontId="1" fillId="2" borderId="0" xfId="0" applyFont="1" applyFill="1" applyBorder="1"/>
    <xf numFmtId="0" fontId="0" fillId="0" borderId="0" xfId="0" applyFont="1" applyFill="1" applyAlignment="1"/>
    <xf numFmtId="0" fontId="1" fillId="0" borderId="0" xfId="0" applyFont="1" applyFill="1" applyBorder="1" applyAlignment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top"/>
    </xf>
    <xf numFmtId="0" fontId="6" fillId="0" borderId="1" xfId="0" applyFont="1" applyFill="1" applyBorder="1"/>
    <xf numFmtId="0" fontId="2" fillId="0" borderId="1" xfId="0" applyFont="1" applyFill="1" applyBorder="1"/>
    <xf numFmtId="0" fontId="15" fillId="2" borderId="0" xfId="0" applyFont="1" applyFill="1"/>
    <xf numFmtId="0" fontId="1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9" fillId="0" borderId="0" xfId="0" applyFont="1" applyFill="1" applyAlignment="1">
      <alignment horizontal="center" vertical="top" wrapText="1"/>
    </xf>
    <xf numFmtId="0" fontId="0" fillId="0" borderId="0" xfId="0" applyAlignment="1"/>
    <xf numFmtId="0" fontId="1" fillId="3" borderId="1" xfId="0" applyFont="1" applyFill="1" applyBorder="1" applyAlignment="1">
      <alignment vertical="top" wrapText="1"/>
    </xf>
    <xf numFmtId="0" fontId="11" fillId="3" borderId="1" xfId="0" applyFont="1" applyFill="1" applyBorder="1" applyAlignment="1">
      <alignment horizontal="center" vertical="top" wrapText="1"/>
    </xf>
    <xf numFmtId="0" fontId="10" fillId="3" borderId="2" xfId="0" applyFont="1" applyFill="1" applyBorder="1" applyAlignment="1">
      <alignment vertical="top" wrapText="1"/>
    </xf>
    <xf numFmtId="0" fontId="17" fillId="0" borderId="1" xfId="0" applyFont="1" applyFill="1" applyBorder="1" applyAlignment="1">
      <alignment horizontal="center" vertical="top"/>
    </xf>
    <xf numFmtId="0" fontId="17" fillId="0" borderId="0" xfId="0" applyFont="1" applyFill="1"/>
    <xf numFmtId="165" fontId="1" fillId="4" borderId="1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168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4" fontId="2" fillId="4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165" fontId="2" fillId="4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 vertical="top"/>
    </xf>
    <xf numFmtId="1" fontId="1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top" wrapText="1"/>
    </xf>
    <xf numFmtId="0" fontId="19" fillId="0" borderId="0" xfId="0" applyFont="1" applyFill="1" applyAlignment="1">
      <alignment vertical="top" wrapText="1"/>
    </xf>
    <xf numFmtId="0" fontId="2" fillId="0" borderId="0" xfId="0" applyFont="1" applyFill="1"/>
    <xf numFmtId="0" fontId="15" fillId="0" borderId="0" xfId="0" applyFont="1" applyFill="1"/>
    <xf numFmtId="0" fontId="20" fillId="0" borderId="0" xfId="0" applyFont="1" applyFill="1" applyAlignment="1"/>
    <xf numFmtId="0" fontId="2" fillId="4" borderId="1" xfId="0" applyFont="1" applyFill="1" applyBorder="1" applyAlignment="1">
      <alignment horizontal="center"/>
    </xf>
    <xf numFmtId="0" fontId="2" fillId="2" borderId="0" xfId="0" applyFont="1" applyFill="1"/>
    <xf numFmtId="0" fontId="20" fillId="0" borderId="0" xfId="0" applyFont="1" applyAlignment="1"/>
    <xf numFmtId="0" fontId="20" fillId="2" borderId="0" xfId="0" applyFont="1" applyFill="1" applyAlignment="1"/>
    <xf numFmtId="0" fontId="22" fillId="0" borderId="0" xfId="0" applyFont="1" applyFill="1" applyAlignment="1">
      <alignment vertical="top" wrapText="1"/>
    </xf>
    <xf numFmtId="0" fontId="9" fillId="0" borderId="0" xfId="0" applyFont="1" applyFill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 textRotation="90"/>
    </xf>
    <xf numFmtId="9" fontId="1" fillId="4" borderId="1" xfId="0" applyNumberFormat="1" applyFont="1" applyFill="1" applyBorder="1" applyAlignment="1">
      <alignment horizontal="center" vertical="top" wrapText="1"/>
    </xf>
    <xf numFmtId="0" fontId="1" fillId="4" borderId="0" xfId="0" applyFont="1" applyFill="1" applyAlignment="1">
      <alignment horizontal="center" vertical="top" wrapText="1"/>
    </xf>
    <xf numFmtId="0" fontId="14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2" fontId="1" fillId="4" borderId="1" xfId="0" applyNumberFormat="1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/>
    </xf>
    <xf numFmtId="0" fontId="24" fillId="4" borderId="1" xfId="0" applyFont="1" applyFill="1" applyBorder="1" applyAlignment="1">
      <alignment horizontal="center" vertical="top"/>
    </xf>
    <xf numFmtId="0" fontId="17" fillId="4" borderId="1" xfId="0" applyFont="1" applyFill="1" applyBorder="1" applyAlignment="1">
      <alignment horizontal="center" vertical="top" wrapText="1"/>
    </xf>
    <xf numFmtId="0" fontId="17" fillId="4" borderId="1" xfId="0" applyFont="1" applyFill="1" applyBorder="1" applyAlignment="1">
      <alignment horizontal="center" vertical="top"/>
    </xf>
    <xf numFmtId="0" fontId="18" fillId="4" borderId="1" xfId="0" applyFont="1" applyFill="1" applyBorder="1" applyAlignment="1">
      <alignment horizontal="center" vertical="top" wrapText="1"/>
    </xf>
    <xf numFmtId="0" fontId="26" fillId="4" borderId="1" xfId="0" applyFont="1" applyFill="1" applyBorder="1" applyAlignment="1">
      <alignment horizontal="center" vertical="top" wrapText="1"/>
    </xf>
    <xf numFmtId="0" fontId="25" fillId="4" borderId="1" xfId="0" applyFont="1" applyFill="1" applyBorder="1" applyAlignment="1">
      <alignment horizontal="center" vertical="top" wrapText="1"/>
    </xf>
    <xf numFmtId="4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4" fontId="1" fillId="4" borderId="1" xfId="1" applyNumberFormat="1" applyFont="1" applyFill="1" applyBorder="1" applyAlignment="1">
      <alignment horizontal="center" vertical="center" wrapText="1"/>
    </xf>
    <xf numFmtId="4" fontId="1" fillId="4" borderId="1" xfId="2" applyNumberFormat="1" applyFont="1" applyFill="1" applyBorder="1" applyAlignment="1">
      <alignment horizontal="center" vertical="center" wrapText="1"/>
    </xf>
    <xf numFmtId="167" fontId="1" fillId="4" borderId="1" xfId="0" applyNumberFormat="1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166" fontId="1" fillId="4" borderId="1" xfId="0" applyNumberFormat="1" applyFont="1" applyFill="1" applyBorder="1" applyAlignment="1">
      <alignment horizontal="center" vertical="center"/>
    </xf>
    <xf numFmtId="169" fontId="1" fillId="4" borderId="1" xfId="0" applyNumberFormat="1" applyFont="1" applyFill="1" applyBorder="1" applyAlignment="1">
      <alignment horizontal="center"/>
    </xf>
    <xf numFmtId="167" fontId="2" fillId="4" borderId="1" xfId="0" applyNumberFormat="1" applyFont="1" applyFill="1" applyBorder="1" applyAlignment="1">
      <alignment horizontal="center"/>
    </xf>
    <xf numFmtId="167" fontId="1" fillId="4" borderId="1" xfId="3" applyNumberFormat="1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right"/>
    </xf>
    <xf numFmtId="165" fontId="1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wrapText="1"/>
    </xf>
    <xf numFmtId="167" fontId="5" fillId="4" borderId="1" xfId="0" applyNumberFormat="1" applyFont="1" applyFill="1" applyBorder="1" applyAlignment="1">
      <alignment horizontal="center" vertical="center"/>
    </xf>
    <xf numFmtId="1" fontId="27" fillId="4" borderId="1" xfId="0" applyNumberFormat="1" applyFont="1" applyFill="1" applyBorder="1" applyAlignment="1">
      <alignment horizontal="center"/>
    </xf>
    <xf numFmtId="167" fontId="1" fillId="4" borderId="1" xfId="0" applyNumberFormat="1" applyFont="1" applyFill="1" applyBorder="1" applyAlignment="1">
      <alignment horizontal="center"/>
    </xf>
    <xf numFmtId="167" fontId="1" fillId="4" borderId="2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67" fontId="2" fillId="4" borderId="1" xfId="0" applyNumberFormat="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/>
    </xf>
    <xf numFmtId="0" fontId="2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7" fontId="1" fillId="4" borderId="5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3" fontId="1" fillId="4" borderId="5" xfId="0" applyNumberFormat="1" applyFont="1" applyFill="1" applyBorder="1" applyAlignment="1">
      <alignment horizontal="center" vertical="center"/>
    </xf>
    <xf numFmtId="1" fontId="1" fillId="4" borderId="5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/>
    </xf>
    <xf numFmtId="4" fontId="2" fillId="4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166" fontId="2" fillId="4" borderId="1" xfId="0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/>
    <xf numFmtId="167" fontId="2" fillId="4" borderId="1" xfId="3" applyNumberFormat="1" applyFont="1" applyFill="1" applyBorder="1" applyAlignment="1">
      <alignment horizontal="center"/>
    </xf>
    <xf numFmtId="2" fontId="2" fillId="4" borderId="1" xfId="0" applyNumberFormat="1" applyFont="1" applyFill="1" applyBorder="1"/>
    <xf numFmtId="165" fontId="2" fillId="4" borderId="1" xfId="0" applyNumberFormat="1" applyFont="1" applyFill="1" applyBorder="1" applyAlignment="1">
      <alignment horizontal="center" vertical="center"/>
    </xf>
    <xf numFmtId="0" fontId="1" fillId="4" borderId="0" xfId="0" applyFont="1" applyFill="1"/>
    <xf numFmtId="2" fontId="2" fillId="4" borderId="6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24" fillId="5" borderId="1" xfId="0" applyFont="1" applyFill="1" applyBorder="1"/>
    <xf numFmtId="49" fontId="10" fillId="5" borderId="1" xfId="0" applyNumberFormat="1" applyFont="1" applyFill="1" applyBorder="1" applyAlignment="1">
      <alignment horizontal="center" vertical="center" textRotation="90" wrapText="1"/>
    </xf>
    <xf numFmtId="0" fontId="24" fillId="5" borderId="1" xfId="0" applyFont="1" applyFill="1" applyBorder="1" applyAlignment="1">
      <alignment horizontal="center" vertical="center" textRotation="90" wrapText="1"/>
    </xf>
    <xf numFmtId="0" fontId="10" fillId="6" borderId="3" xfId="0" applyFont="1" applyFill="1" applyBorder="1" applyAlignment="1">
      <alignment vertical="top" wrapText="1"/>
    </xf>
    <xf numFmtId="0" fontId="16" fillId="6" borderId="3" xfId="0" applyFont="1" applyFill="1" applyBorder="1" applyAlignment="1">
      <alignment horizontal="left" vertical="top" wrapText="1"/>
    </xf>
    <xf numFmtId="0" fontId="23" fillId="6" borderId="3" xfId="0" applyFont="1" applyFill="1" applyBorder="1" applyAlignment="1">
      <alignment horizontal="left" vertical="top" wrapText="1"/>
    </xf>
    <xf numFmtId="0" fontId="2" fillId="6" borderId="4" xfId="0" applyFont="1" applyFill="1" applyBorder="1" applyAlignment="1">
      <alignment vertical="top" wrapText="1"/>
    </xf>
    <xf numFmtId="0" fontId="2" fillId="6" borderId="3" xfId="0" applyFont="1" applyFill="1" applyBorder="1" applyAlignment="1">
      <alignment vertical="top" wrapText="1"/>
    </xf>
    <xf numFmtId="0" fontId="16" fillId="6" borderId="3" xfId="0" applyFont="1" applyFill="1" applyBorder="1" applyAlignment="1">
      <alignment horizontal="left"/>
    </xf>
    <xf numFmtId="0" fontId="1" fillId="6" borderId="4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 vertical="top" wrapText="1"/>
    </xf>
    <xf numFmtId="0" fontId="6" fillId="6" borderId="4" xfId="0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textRotation="90"/>
    </xf>
    <xf numFmtId="49" fontId="2" fillId="6" borderId="2" xfId="0" applyNumberFormat="1" applyFont="1" applyFill="1" applyBorder="1" applyAlignment="1">
      <alignment horizontal="center" textRotation="90" wrapText="1"/>
    </xf>
    <xf numFmtId="49" fontId="2" fillId="6" borderId="1" xfId="0" applyNumberFormat="1" applyFont="1" applyFill="1" applyBorder="1" applyAlignment="1">
      <alignment horizontal="center" vertical="center" textRotation="90" wrapText="1"/>
    </xf>
    <xf numFmtId="49" fontId="2" fillId="6" borderId="2" xfId="0" applyNumberFormat="1" applyFont="1" applyFill="1" applyBorder="1" applyAlignment="1">
      <alignment horizontal="center" vertical="center" textRotation="90" wrapText="1"/>
    </xf>
    <xf numFmtId="0" fontId="1" fillId="6" borderId="4" xfId="0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textRotation="90" wrapText="1"/>
    </xf>
    <xf numFmtId="0" fontId="13" fillId="6" borderId="4" xfId="0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textRotation="90" wrapText="1"/>
    </xf>
    <xf numFmtId="0" fontId="9" fillId="6" borderId="4" xfId="0" applyFont="1" applyFill="1" applyBorder="1" applyAlignment="1">
      <alignment horizontal="center" vertical="top" wrapText="1"/>
    </xf>
    <xf numFmtId="167" fontId="1" fillId="4" borderId="2" xfId="0" applyNumberFormat="1" applyFont="1" applyFill="1" applyBorder="1" applyAlignment="1">
      <alignment horizontal="center" vertical="center"/>
    </xf>
    <xf numFmtId="1" fontId="2" fillId="4" borderId="4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/>
    </xf>
    <xf numFmtId="0" fontId="19" fillId="0" borderId="0" xfId="0" applyFont="1" applyFill="1" applyAlignment="1">
      <alignment horizontal="center" wrapText="1"/>
    </xf>
    <xf numFmtId="0" fontId="3" fillId="0" borderId="0" xfId="0" applyFont="1" applyFill="1" applyAlignment="1"/>
    <xf numFmtId="0" fontId="0" fillId="0" borderId="0" xfId="0" applyAlignment="1"/>
    <xf numFmtId="0" fontId="13" fillId="6" borderId="2" xfId="0" applyFont="1" applyFill="1" applyBorder="1" applyAlignment="1">
      <alignment horizontal="center" vertical="top" wrapText="1"/>
    </xf>
    <xf numFmtId="0" fontId="13" fillId="6" borderId="3" xfId="0" applyFont="1" applyFill="1" applyBorder="1" applyAlignment="1">
      <alignment horizontal="center" vertical="top" wrapText="1"/>
    </xf>
    <xf numFmtId="0" fontId="13" fillId="6" borderId="4" xfId="0" applyFont="1" applyFill="1" applyBorder="1" applyAlignment="1">
      <alignment horizontal="center" vertical="top" wrapText="1"/>
    </xf>
    <xf numFmtId="0" fontId="6" fillId="6" borderId="2" xfId="0" applyFont="1" applyFill="1" applyBorder="1" applyAlignment="1">
      <alignment horizontal="center" vertical="top" wrapText="1"/>
    </xf>
    <xf numFmtId="0" fontId="6" fillId="6" borderId="3" xfId="0" applyFont="1" applyFill="1" applyBorder="1" applyAlignment="1">
      <alignment horizontal="center" vertical="top" wrapText="1"/>
    </xf>
    <xf numFmtId="0" fontId="6" fillId="6" borderId="4" xfId="0" applyFont="1" applyFill="1" applyBorder="1" applyAlignment="1">
      <alignment horizontal="center" vertical="top" wrapText="1"/>
    </xf>
    <xf numFmtId="0" fontId="10" fillId="6" borderId="2" xfId="0" applyFont="1" applyFill="1" applyBorder="1" applyAlignment="1">
      <alignment horizontal="left" vertical="top" wrapText="1"/>
    </xf>
    <xf numFmtId="0" fontId="10" fillId="6" borderId="3" xfId="0" applyFont="1" applyFill="1" applyBorder="1" applyAlignment="1">
      <alignment horizontal="left" vertical="top" wrapText="1"/>
    </xf>
    <xf numFmtId="0" fontId="16" fillId="6" borderId="3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left" vertical="top"/>
    </xf>
    <xf numFmtId="0" fontId="10" fillId="6" borderId="3" xfId="0" applyFont="1" applyFill="1" applyBorder="1" applyAlignment="1">
      <alignment horizontal="left" vertical="top"/>
    </xf>
    <xf numFmtId="0" fontId="10" fillId="6" borderId="4" xfId="0" applyFont="1" applyFill="1" applyBorder="1" applyAlignment="1">
      <alignment horizontal="left" vertical="top"/>
    </xf>
    <xf numFmtId="0" fontId="14" fillId="6" borderId="2" xfId="0" applyFont="1" applyFill="1" applyBorder="1" applyAlignment="1">
      <alignment horizontal="center" vertical="top" wrapText="1"/>
    </xf>
    <xf numFmtId="0" fontId="14" fillId="6" borderId="3" xfId="0" applyFont="1" applyFill="1" applyBorder="1" applyAlignment="1">
      <alignment horizontal="center" vertical="top" wrapText="1"/>
    </xf>
    <xf numFmtId="0" fontId="14" fillId="6" borderId="4" xfId="0" applyFont="1" applyFill="1" applyBorder="1" applyAlignment="1">
      <alignment horizontal="center" vertical="top" wrapText="1"/>
    </xf>
    <xf numFmtId="0" fontId="10" fillId="6" borderId="4" xfId="0" applyFont="1" applyFill="1" applyBorder="1" applyAlignment="1">
      <alignment horizontal="left" vertical="top" wrapText="1"/>
    </xf>
    <xf numFmtId="0" fontId="24" fillId="0" borderId="0" xfId="0" applyFont="1" applyFill="1" applyAlignment="1">
      <alignment horizontal="center" vertical="top" wrapText="1"/>
    </xf>
    <xf numFmtId="0" fontId="11" fillId="6" borderId="2" xfId="0" applyFont="1" applyFill="1" applyBorder="1" applyAlignment="1">
      <alignment horizontal="center" vertical="top" wrapText="1"/>
    </xf>
    <xf numFmtId="0" fontId="11" fillId="6" borderId="3" xfId="0" applyFont="1" applyFill="1" applyBorder="1" applyAlignment="1">
      <alignment horizontal="center" vertical="top" wrapText="1"/>
    </xf>
    <xf numFmtId="0" fontId="11" fillId="6" borderId="4" xfId="0" applyFont="1" applyFill="1" applyBorder="1" applyAlignment="1">
      <alignment horizontal="center" vertical="top" wrapText="1"/>
    </xf>
    <xf numFmtId="0" fontId="12" fillId="6" borderId="2" xfId="0" applyFont="1" applyFill="1" applyBorder="1" applyAlignment="1">
      <alignment horizontal="center" vertical="top" wrapText="1"/>
    </xf>
    <xf numFmtId="0" fontId="12" fillId="6" borderId="3" xfId="0" applyFont="1" applyFill="1" applyBorder="1" applyAlignment="1">
      <alignment horizontal="center" vertical="top" wrapText="1"/>
    </xf>
    <xf numFmtId="0" fontId="12" fillId="6" borderId="4" xfId="0" applyFont="1" applyFill="1" applyBorder="1" applyAlignment="1">
      <alignment horizontal="center" vertical="top" wrapText="1"/>
    </xf>
    <xf numFmtId="0" fontId="19" fillId="2" borderId="0" xfId="0" applyFont="1" applyFill="1" applyAlignment="1">
      <alignment horizontal="center" wrapText="1"/>
    </xf>
    <xf numFmtId="0" fontId="16" fillId="6" borderId="3" xfId="0" applyFont="1" applyFill="1" applyBorder="1" applyAlignment="1">
      <alignment horizontal="left"/>
    </xf>
    <xf numFmtId="0" fontId="1" fillId="6" borderId="2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center" vertical="top" wrapText="1"/>
    </xf>
    <xf numFmtId="0" fontId="1" fillId="6" borderId="4" xfId="0" applyFont="1" applyFill="1" applyBorder="1" applyAlignment="1">
      <alignment horizontal="center" vertical="top" wrapText="1"/>
    </xf>
  </cellXfs>
  <cellStyles count="7">
    <cellStyle name="Обычный" xfId="0" builtinId="0"/>
    <cellStyle name="Обычный 2" xfId="4"/>
    <cellStyle name="Обычный 3" xfId="1"/>
    <cellStyle name="Обычный 4" xfId="2"/>
    <cellStyle name="Обычный 6" xfId="5"/>
    <cellStyle name="Процентный" xfId="3" builtinId="5"/>
    <cellStyle name="Стиль 1" xfId="6"/>
  </cellStyles>
  <dxfs count="0"/>
  <tableStyles count="0" defaultTableStyle="TableStyleMedium9" defaultPivotStyle="PivotStyleLight16"/>
  <colors>
    <mruColors>
      <color rgb="FFFFFF66"/>
      <color rgb="FFFF9966"/>
      <color rgb="FFD2E3B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V45"/>
  <sheetViews>
    <sheetView tabSelected="1" zoomScale="83" zoomScaleNormal="83" workbookViewId="0">
      <pane xSplit="2" ySplit="4" topLeftCell="FP14" activePane="bottomRight" state="frozen"/>
      <selection pane="topRight" activeCell="C1" sqref="C1"/>
      <selection pane="bottomLeft" activeCell="A7" sqref="A7"/>
      <selection pane="bottomRight" activeCell="GT15" sqref="GT15"/>
    </sheetView>
  </sheetViews>
  <sheetFormatPr defaultColWidth="9.109375" defaultRowHeight="12.75" customHeight="1" x14ac:dyDescent="0.25"/>
  <cols>
    <col min="1" max="1" width="3.109375" style="3" customWidth="1"/>
    <col min="2" max="2" width="14.77734375" style="3" customWidth="1"/>
    <col min="3" max="3" width="8.6640625" style="3" customWidth="1"/>
    <col min="4" max="4" width="8.5546875" style="3" customWidth="1"/>
    <col min="5" max="5" width="8.88671875" style="3" customWidth="1"/>
    <col min="6" max="6" width="5.21875" style="43" customWidth="1"/>
    <col min="7" max="7" width="6.33203125" style="3" customWidth="1"/>
    <col min="8" max="9" width="10.6640625" style="3" customWidth="1"/>
    <col min="10" max="10" width="7.6640625" style="3" customWidth="1"/>
    <col min="11" max="11" width="7.44140625" style="3" customWidth="1"/>
    <col min="12" max="12" width="4.6640625" style="43" customWidth="1"/>
    <col min="13" max="13" width="6" style="3" customWidth="1"/>
    <col min="14" max="14" width="10.21875" style="3" customWidth="1"/>
    <col min="15" max="15" width="8.33203125" style="3" customWidth="1"/>
    <col min="16" max="16" width="7.88671875" style="3" customWidth="1"/>
    <col min="17" max="17" width="4.5546875" style="43" customWidth="1"/>
    <col min="18" max="18" width="6.109375" style="3" customWidth="1"/>
    <col min="19" max="19" width="10.21875" style="3" customWidth="1"/>
    <col min="20" max="20" width="9.33203125" style="3" customWidth="1"/>
    <col min="21" max="21" width="7.5546875" style="3" customWidth="1"/>
    <col min="22" max="22" width="5.109375" style="43" customWidth="1"/>
    <col min="23" max="23" width="5.6640625" style="3" customWidth="1"/>
    <col min="24" max="24" width="11.44140625" style="3" customWidth="1"/>
    <col min="25" max="25" width="10.44140625" style="3" customWidth="1"/>
    <col min="26" max="26" width="7.77734375" style="3" customWidth="1"/>
    <col min="27" max="27" width="7.5546875" style="43" customWidth="1"/>
    <col min="28" max="28" width="5.6640625" style="3" customWidth="1"/>
    <col min="29" max="29" width="9.6640625" style="3" customWidth="1"/>
    <col min="30" max="30" width="9.109375" style="3" customWidth="1"/>
    <col min="31" max="31" width="7.5546875" style="3" customWidth="1"/>
    <col min="32" max="32" width="4.109375" style="43" customWidth="1"/>
    <col min="33" max="33" width="6.109375" style="3" customWidth="1"/>
    <col min="34" max="34" width="8.33203125" style="3" customWidth="1"/>
    <col min="35" max="35" width="10.109375" style="3" customWidth="1"/>
    <col min="36" max="36" width="7.44140625" style="3" customWidth="1"/>
    <col min="37" max="37" width="4.6640625" style="43" customWidth="1"/>
    <col min="38" max="38" width="6.88671875" style="3" customWidth="1"/>
    <col min="39" max="39" width="8.88671875" style="3" customWidth="1"/>
    <col min="40" max="40" width="9" style="3" customWidth="1"/>
    <col min="41" max="41" width="11.109375" style="3" customWidth="1"/>
    <col min="42" max="42" width="4.44140625" style="43" customWidth="1"/>
    <col min="43" max="43" width="7.33203125" style="3" customWidth="1"/>
    <col min="44" max="44" width="9.88671875" style="3" customWidth="1"/>
    <col min="45" max="45" width="10.88671875" style="3" customWidth="1"/>
    <col min="46" max="46" width="7.77734375" style="3" customWidth="1"/>
    <col min="47" max="47" width="4.33203125" style="43" customWidth="1"/>
    <col min="48" max="48" width="7.33203125" style="3" customWidth="1"/>
    <col min="49" max="49" width="11.21875" style="3" customWidth="1"/>
    <col min="50" max="50" width="10.88671875" style="3" customWidth="1"/>
    <col min="51" max="51" width="7.5546875" style="3" customWidth="1"/>
    <col min="52" max="52" width="4.88671875" style="3" customWidth="1"/>
    <col min="53" max="53" width="6.21875" style="3" customWidth="1"/>
    <col min="54" max="54" width="8.5546875" style="3" customWidth="1"/>
    <col min="55" max="55" width="6" style="43" customWidth="1"/>
    <col min="56" max="56" width="5.21875" style="17" customWidth="1"/>
    <col min="57" max="58" width="8.21875" style="3" customWidth="1"/>
    <col min="59" max="59" width="8.109375" style="3" customWidth="1"/>
    <col min="60" max="60" width="5" style="43" customWidth="1"/>
    <col min="61" max="61" width="6.33203125" style="3" customWidth="1"/>
    <col min="62" max="63" width="6.44140625" style="3" customWidth="1"/>
    <col min="64" max="64" width="4.6640625" style="43" customWidth="1"/>
    <col min="65" max="65" width="6.109375" style="3" customWidth="1"/>
    <col min="66" max="66" width="12.44140625" style="3" customWidth="1"/>
    <col min="67" max="67" width="10" style="3" customWidth="1"/>
    <col min="68" max="68" width="10.44140625" style="3" customWidth="1"/>
    <col min="69" max="69" width="8.33203125" style="3" customWidth="1"/>
    <col min="70" max="70" width="8.109375" style="3" hidden="1" customWidth="1"/>
    <col min="71" max="71" width="5" style="17" customWidth="1"/>
    <col min="72" max="72" width="7.109375" style="4" customWidth="1"/>
    <col min="73" max="73" width="8.33203125" style="3" customWidth="1"/>
    <col min="74" max="74" width="7.88671875" style="3" customWidth="1"/>
    <col min="75" max="75" width="7" style="3" customWidth="1"/>
    <col min="76" max="76" width="4.6640625" style="43" customWidth="1"/>
    <col min="77" max="77" width="7.5546875" style="3" customWidth="1"/>
    <col min="78" max="78" width="7.21875" style="3" customWidth="1"/>
    <col min="79" max="79" width="6.44140625" style="3" customWidth="1"/>
    <col min="80" max="80" width="7.5546875" style="3" customWidth="1"/>
    <col min="81" max="81" width="5" style="43" customWidth="1"/>
    <col min="82" max="82" width="7" style="3" customWidth="1"/>
    <col min="83" max="83" width="10.21875" style="3" customWidth="1"/>
    <col min="84" max="84" width="9.33203125" style="3" customWidth="1"/>
    <col min="85" max="85" width="6.88671875" style="3" customWidth="1"/>
    <col min="86" max="86" width="5.33203125" style="43" customWidth="1"/>
    <col min="87" max="87" width="5.33203125" style="3" customWidth="1"/>
    <col min="88" max="88" width="12.5546875" style="3" customWidth="1"/>
    <col min="89" max="89" width="5.33203125" style="3" customWidth="1"/>
    <col min="90" max="90" width="5.33203125" style="43" customWidth="1"/>
    <col min="91" max="92" width="5.33203125" style="3" customWidth="1"/>
    <col min="93" max="93" width="7.44140625" style="43" customWidth="1"/>
    <col min="94" max="94" width="5.109375" style="17" customWidth="1"/>
    <col min="95" max="95" width="8.5546875" style="3" hidden="1" customWidth="1"/>
    <col min="96" max="96" width="8.44140625" style="3" hidden="1" customWidth="1"/>
    <col min="97" max="97" width="7.44140625" style="3" customWidth="1"/>
    <col min="98" max="98" width="4.77734375" style="43" customWidth="1"/>
    <col min="99" max="99" width="8.33203125" style="3" customWidth="1"/>
    <col min="100" max="100" width="10.5546875" style="3" customWidth="1"/>
    <col min="101" max="101" width="7.44140625" style="43" customWidth="1"/>
    <col min="102" max="102" width="7.44140625" style="3" customWidth="1"/>
    <col min="103" max="103" width="7.88671875" style="3" hidden="1" customWidth="1"/>
    <col min="104" max="104" width="5" style="3" hidden="1" customWidth="1"/>
    <col min="105" max="105" width="12.5546875" style="3" customWidth="1"/>
    <col min="106" max="106" width="8.6640625" style="43" customWidth="1"/>
    <col min="107" max="107" width="8.6640625" style="3" customWidth="1"/>
    <col min="108" max="108" width="11.6640625" style="3" customWidth="1"/>
    <col min="109" max="109" width="8.88671875" style="43" customWidth="1"/>
    <col min="110" max="110" width="8.88671875" style="3" customWidth="1"/>
    <col min="111" max="111" width="10.5546875" style="3" customWidth="1"/>
    <col min="112" max="112" width="6.21875" style="17" customWidth="1"/>
    <col min="113" max="113" width="7.109375" style="4" customWidth="1"/>
    <col min="114" max="114" width="8.33203125" style="4" customWidth="1"/>
    <col min="115" max="115" width="5.21875" style="17" customWidth="1"/>
    <col min="116" max="116" width="6.44140625" style="4" customWidth="1"/>
    <col min="117" max="117" width="6.77734375" style="4" customWidth="1"/>
    <col min="118" max="118" width="5.5546875" style="43" customWidth="1"/>
    <col min="119" max="119" width="5.77734375" style="17" customWidth="1"/>
    <col min="120" max="120" width="6.5546875" style="3" customWidth="1"/>
    <col min="121" max="121" width="7.44140625" style="3" customWidth="1"/>
    <col min="122" max="122" width="6" style="43" customWidth="1"/>
    <col min="123" max="123" width="6" style="3" customWidth="1"/>
    <col min="124" max="124" width="6.77734375" style="3" customWidth="1"/>
    <col min="125" max="125" width="5.109375" style="17" customWidth="1"/>
    <col min="126" max="126" width="6.88671875" style="4" customWidth="1"/>
    <col min="127" max="127" width="5.77734375" style="4" hidden="1" customWidth="1"/>
    <col min="128" max="128" width="7.109375" style="4" hidden="1" customWidth="1"/>
    <col min="129" max="129" width="6.6640625" style="4" hidden="1" customWidth="1"/>
    <col min="130" max="130" width="5.44140625" style="17" hidden="1" customWidth="1"/>
    <col min="131" max="131" width="5.6640625" style="4" hidden="1" customWidth="1"/>
    <col min="132" max="132" width="5.5546875" style="4" customWidth="1"/>
    <col min="133" max="133" width="5.5546875" style="43" customWidth="1"/>
    <col min="134" max="134" width="6.44140625" style="17" customWidth="1"/>
    <col min="135" max="135" width="8.44140625" style="3" customWidth="1"/>
    <col min="136" max="136" width="8.109375" style="3" customWidth="1"/>
    <col min="137" max="137" width="6" style="3" customWidth="1"/>
    <col min="138" max="139" width="4.6640625" style="4" customWidth="1"/>
    <col min="140" max="140" width="7.88671875" style="3" customWidth="1"/>
    <col min="141" max="141" width="5.33203125" style="3" customWidth="1"/>
    <col min="142" max="142" width="8.44140625" style="3" customWidth="1"/>
    <col min="143" max="143" width="10.33203125" style="3" customWidth="1"/>
    <col min="144" max="144" width="9.88671875" style="3" customWidth="1"/>
    <col min="145" max="145" width="6.77734375" style="3" customWidth="1"/>
    <col min="146" max="146" width="7.21875" style="3" customWidth="1"/>
    <col min="147" max="147" width="8.44140625" style="3" customWidth="1"/>
    <col min="148" max="148" width="6.77734375" style="3" customWidth="1"/>
    <col min="149" max="149" width="7.44140625" style="3" customWidth="1"/>
    <col min="150" max="150" width="11.109375" style="3" customWidth="1"/>
    <col min="151" max="151" width="6" style="3" customWidth="1"/>
    <col min="152" max="152" width="7" style="3" customWidth="1"/>
    <col min="153" max="153" width="7.21875" style="3" customWidth="1"/>
    <col min="154" max="154" width="6.21875" style="4" customWidth="1"/>
    <col min="155" max="155" width="7.21875" style="4" customWidth="1"/>
    <col min="156" max="156" width="9.33203125" style="3" customWidth="1"/>
    <col min="157" max="157" width="8.44140625" style="3" customWidth="1"/>
    <col min="158" max="158" width="6.88671875" style="3" customWidth="1"/>
    <col min="159" max="160" width="5.44140625" style="3" customWidth="1"/>
    <col min="161" max="161" width="9.44140625" style="4" customWidth="1"/>
    <col min="162" max="162" width="8.88671875" style="4" customWidth="1"/>
    <col min="163" max="163" width="7.88671875" style="4" customWidth="1"/>
    <col min="164" max="165" width="5" style="4" customWidth="1"/>
    <col min="166" max="166" width="7.6640625" style="3" customWidth="1"/>
    <col min="167" max="167" width="8.109375" style="3" customWidth="1"/>
    <col min="168" max="168" width="7.44140625" style="4" customWidth="1"/>
    <col min="169" max="169" width="7.6640625" style="4" customWidth="1"/>
    <col min="170" max="170" width="9.5546875" style="4" customWidth="1"/>
    <col min="171" max="171" width="10.5546875" style="4" customWidth="1"/>
    <col min="172" max="172" width="4.77734375" style="4" customWidth="1"/>
    <col min="173" max="173" width="8.5546875" style="4" customWidth="1"/>
    <col min="174" max="174" width="7.44140625" style="4" customWidth="1"/>
    <col min="175" max="175" width="7.6640625" style="3" customWidth="1"/>
    <col min="176" max="176" width="7.33203125" style="4" customWidth="1"/>
    <col min="177" max="177" width="5.77734375" style="3" customWidth="1"/>
    <col min="178" max="178" width="8.109375" style="3" customWidth="1"/>
    <col min="179" max="179" width="6.6640625" style="3" customWidth="1"/>
    <col min="180" max="180" width="5.21875" style="3" customWidth="1"/>
    <col min="181" max="181" width="6.6640625" style="3" customWidth="1"/>
    <col min="182" max="182" width="7.88671875" style="3" customWidth="1"/>
    <col min="183" max="183" width="7.6640625" style="3" customWidth="1"/>
    <col min="184" max="184" width="6.44140625" style="3" customWidth="1"/>
    <col min="185" max="185" width="5.109375" style="3" customWidth="1"/>
    <col min="186" max="186" width="6.44140625" style="3" customWidth="1"/>
    <col min="187" max="187" width="5.5546875" style="3" customWidth="1"/>
    <col min="188" max="188" width="5.77734375" style="3" customWidth="1"/>
    <col min="189" max="189" width="7" style="3" customWidth="1"/>
    <col min="190" max="190" width="5.33203125" style="3" customWidth="1"/>
    <col min="191" max="191" width="6.44140625" style="3" customWidth="1"/>
    <col min="192" max="192" width="7.21875" style="3" customWidth="1"/>
    <col min="193" max="193" width="7" style="3" customWidth="1"/>
    <col min="194" max="194" width="6.88671875" style="3" customWidth="1"/>
    <col min="195" max="195" width="5.88671875" style="3" customWidth="1"/>
    <col min="196" max="196" width="7.21875" style="3" customWidth="1"/>
    <col min="197" max="197" width="5.109375" style="3" customWidth="1"/>
    <col min="198" max="198" width="6.6640625" style="3" customWidth="1"/>
    <col min="199" max="200" width="6.44140625" style="3" customWidth="1"/>
    <col min="201" max="201" width="5.109375" style="4" customWidth="1"/>
    <col min="202" max="203" width="7.88671875" style="4" customWidth="1"/>
    <col min="204" max="204" width="16.109375" style="3" customWidth="1"/>
    <col min="205" max="16384" width="9.109375" style="3"/>
  </cols>
  <sheetData>
    <row r="1" spans="1:204" s="1" customFormat="1" ht="43.2" customHeight="1" x14ac:dyDescent="0.3">
      <c r="B1" s="50"/>
      <c r="C1" s="153" t="s">
        <v>111</v>
      </c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50"/>
      <c r="V1" s="40"/>
      <c r="W1" s="20"/>
      <c r="X1" s="10"/>
      <c r="Y1" s="10"/>
      <c r="Z1" s="10"/>
      <c r="AA1" s="44"/>
      <c r="AB1" s="10"/>
      <c r="AC1" s="10"/>
      <c r="AD1" s="10"/>
      <c r="AE1" s="10"/>
      <c r="AF1" s="44"/>
      <c r="AG1" s="10"/>
      <c r="AH1" s="10"/>
      <c r="AI1" s="10"/>
      <c r="AJ1" s="10"/>
      <c r="AK1" s="44"/>
      <c r="AL1" s="10"/>
      <c r="AM1" s="10"/>
      <c r="AN1" s="10"/>
      <c r="AO1" s="10"/>
      <c r="AP1" s="44"/>
      <c r="AQ1" s="10"/>
      <c r="AR1" s="10"/>
      <c r="AS1" s="10"/>
      <c r="AT1" s="10"/>
      <c r="AU1" s="44"/>
      <c r="AV1" s="10"/>
      <c r="AW1" s="10"/>
      <c r="AX1" s="10"/>
      <c r="AY1" s="10"/>
      <c r="AZ1" s="10"/>
      <c r="BA1" s="10"/>
      <c r="BB1" s="10"/>
      <c r="BC1" s="44"/>
      <c r="BD1" s="48"/>
      <c r="BE1" s="10"/>
      <c r="BF1" s="10"/>
      <c r="BG1" s="10"/>
      <c r="BH1" s="44"/>
      <c r="BI1" s="10"/>
      <c r="BJ1" s="10"/>
      <c r="BK1" s="10"/>
      <c r="BL1" s="44"/>
      <c r="BM1" s="10"/>
      <c r="BN1" s="10"/>
      <c r="BO1" s="2"/>
      <c r="BS1" s="46"/>
      <c r="BT1" s="5"/>
      <c r="BV1" s="41"/>
      <c r="BX1" s="42"/>
      <c r="CC1" s="42"/>
      <c r="CH1" s="42"/>
      <c r="CL1" s="49" t="s">
        <v>163</v>
      </c>
      <c r="CO1" s="42"/>
      <c r="CP1" s="46"/>
      <c r="CT1" s="42"/>
      <c r="CW1" s="42"/>
      <c r="DB1" s="42"/>
      <c r="DE1" s="42"/>
      <c r="DH1" s="46"/>
      <c r="DI1" s="5"/>
      <c r="DJ1" s="5"/>
      <c r="DK1" s="46"/>
      <c r="DL1" s="5"/>
      <c r="DM1" s="5"/>
      <c r="DN1" s="42"/>
      <c r="DO1" s="46"/>
      <c r="DP1" s="134"/>
      <c r="DQ1" s="134"/>
      <c r="DR1" s="134"/>
      <c r="DS1" s="134"/>
      <c r="DU1" s="46"/>
      <c r="DV1" s="5"/>
      <c r="DW1" s="160"/>
      <c r="DX1" s="160"/>
      <c r="DY1" s="160"/>
      <c r="DZ1" s="160"/>
      <c r="EA1" s="5"/>
      <c r="EB1" s="5"/>
      <c r="EC1" s="42"/>
      <c r="ED1" s="46"/>
      <c r="EH1" s="9"/>
      <c r="EI1" s="9"/>
      <c r="EJ1" s="11"/>
      <c r="EK1" s="11"/>
      <c r="EL1" s="11"/>
      <c r="EM1" s="7"/>
      <c r="EX1" s="5"/>
      <c r="EY1" s="5"/>
      <c r="FH1" s="5"/>
      <c r="FI1" s="5"/>
      <c r="FL1" s="5"/>
      <c r="FM1" s="5"/>
      <c r="FN1" s="5"/>
      <c r="FO1" s="5"/>
      <c r="FP1" s="5"/>
      <c r="FQ1" s="5"/>
      <c r="FR1" s="5"/>
      <c r="FT1" s="5"/>
      <c r="GS1" s="5"/>
      <c r="GT1" s="5"/>
      <c r="GU1" s="5"/>
    </row>
    <row r="2" spans="1:204" s="1" customFormat="1" ht="18.75" customHeight="1" x14ac:dyDescent="0.35">
      <c r="A2" s="24"/>
      <c r="B2" s="113"/>
      <c r="C2" s="144" t="s">
        <v>31</v>
      </c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  <c r="AS2" s="144"/>
      <c r="AT2" s="144"/>
      <c r="AU2" s="144"/>
      <c r="AV2" s="144"/>
      <c r="AW2" s="144"/>
      <c r="AX2" s="144"/>
      <c r="AY2" s="144"/>
      <c r="AZ2" s="144"/>
      <c r="BA2" s="144"/>
      <c r="BB2" s="144"/>
      <c r="BC2" s="144"/>
      <c r="BD2" s="152"/>
      <c r="BE2" s="143" t="s">
        <v>32</v>
      </c>
      <c r="BF2" s="144"/>
      <c r="BG2" s="144"/>
      <c r="BH2" s="144"/>
      <c r="BI2" s="144"/>
      <c r="BJ2" s="144"/>
      <c r="BK2" s="144"/>
      <c r="BL2" s="144"/>
      <c r="BM2" s="144"/>
      <c r="BN2" s="144"/>
      <c r="BO2" s="144"/>
      <c r="BP2" s="144"/>
      <c r="BQ2" s="144"/>
      <c r="BR2" s="144"/>
      <c r="BS2" s="144"/>
      <c r="BT2" s="144"/>
      <c r="BU2" s="144"/>
      <c r="BV2" s="144"/>
      <c r="BW2" s="144"/>
      <c r="BX2" s="144"/>
      <c r="BY2" s="144"/>
      <c r="BZ2" s="144"/>
      <c r="CA2" s="144"/>
      <c r="CB2" s="144"/>
      <c r="CC2" s="144"/>
      <c r="CD2" s="144"/>
      <c r="CE2" s="144"/>
      <c r="CF2" s="144"/>
      <c r="CG2" s="144"/>
      <c r="CH2" s="144"/>
      <c r="CI2" s="144"/>
      <c r="CJ2" s="144"/>
      <c r="CK2" s="144"/>
      <c r="CL2" s="144"/>
      <c r="CM2" s="144"/>
      <c r="CN2" s="144"/>
      <c r="CO2" s="144"/>
      <c r="CP2" s="152"/>
      <c r="CQ2" s="143" t="s">
        <v>30</v>
      </c>
      <c r="CR2" s="144"/>
      <c r="CS2" s="144"/>
      <c r="CT2" s="144"/>
      <c r="CU2" s="144"/>
      <c r="CV2" s="144"/>
      <c r="CW2" s="144"/>
      <c r="CX2" s="144"/>
      <c r="CY2" s="145"/>
      <c r="CZ2" s="145"/>
      <c r="DA2" s="145"/>
      <c r="DB2" s="145"/>
      <c r="DC2" s="145"/>
      <c r="DD2" s="145"/>
      <c r="DE2" s="145"/>
      <c r="DF2" s="145"/>
      <c r="DG2" s="145"/>
      <c r="DH2" s="145"/>
      <c r="DI2" s="114"/>
      <c r="DJ2" s="114"/>
      <c r="DK2" s="115"/>
      <c r="DL2" s="114"/>
      <c r="DM2" s="114"/>
      <c r="DN2" s="116"/>
      <c r="DO2" s="117"/>
      <c r="DP2" s="146" t="s">
        <v>48</v>
      </c>
      <c r="DQ2" s="147"/>
      <c r="DR2" s="147"/>
      <c r="DS2" s="147"/>
      <c r="DT2" s="147"/>
      <c r="DU2" s="147"/>
      <c r="DV2" s="147"/>
      <c r="DW2" s="147"/>
      <c r="DX2" s="147"/>
      <c r="DY2" s="147"/>
      <c r="DZ2" s="147"/>
      <c r="EA2" s="147"/>
      <c r="EB2" s="147"/>
      <c r="EC2" s="147"/>
      <c r="ED2" s="148"/>
      <c r="EE2" s="146" t="s">
        <v>34</v>
      </c>
      <c r="EF2" s="147"/>
      <c r="EG2" s="147"/>
      <c r="EH2" s="147"/>
      <c r="EI2" s="147"/>
      <c r="EJ2" s="147"/>
      <c r="EK2" s="147"/>
      <c r="EL2" s="147"/>
      <c r="EM2" s="147"/>
      <c r="EN2" s="147"/>
      <c r="EO2" s="147"/>
      <c r="EP2" s="147"/>
      <c r="EQ2" s="147"/>
      <c r="ER2" s="147"/>
      <c r="ES2" s="147"/>
      <c r="ET2" s="147"/>
      <c r="EU2" s="147"/>
      <c r="EV2" s="147"/>
      <c r="EW2" s="147"/>
      <c r="EX2" s="147"/>
      <c r="EY2" s="147"/>
      <c r="EZ2" s="147"/>
      <c r="FA2" s="147"/>
      <c r="FB2" s="147"/>
      <c r="FC2" s="147"/>
      <c r="FD2" s="147"/>
      <c r="FE2" s="147"/>
      <c r="FF2" s="147"/>
      <c r="FG2" s="147"/>
      <c r="FH2" s="147"/>
      <c r="FI2" s="147"/>
      <c r="FJ2" s="147"/>
      <c r="FK2" s="147"/>
      <c r="FL2" s="147"/>
      <c r="FM2" s="147"/>
      <c r="FN2" s="147"/>
      <c r="FO2" s="147"/>
      <c r="FP2" s="147"/>
      <c r="FQ2" s="147"/>
      <c r="FR2" s="147"/>
      <c r="FS2" s="147"/>
      <c r="FT2" s="148"/>
      <c r="FU2" s="146" t="s">
        <v>36</v>
      </c>
      <c r="FV2" s="147"/>
      <c r="FW2" s="147"/>
      <c r="FX2" s="147"/>
      <c r="FY2" s="147"/>
      <c r="FZ2" s="161"/>
      <c r="GA2" s="161"/>
      <c r="GB2" s="161"/>
      <c r="GC2" s="161"/>
      <c r="GD2" s="161"/>
      <c r="GE2" s="161"/>
      <c r="GF2" s="161"/>
      <c r="GG2" s="161"/>
      <c r="GH2" s="161"/>
      <c r="GI2" s="161"/>
      <c r="GJ2" s="161"/>
      <c r="GK2" s="161"/>
      <c r="GL2" s="161"/>
      <c r="GM2" s="161"/>
      <c r="GN2" s="161"/>
      <c r="GO2" s="161"/>
      <c r="GP2" s="118"/>
      <c r="GQ2" s="118"/>
      <c r="GR2" s="119"/>
      <c r="GS2" s="119"/>
      <c r="GT2" s="109"/>
      <c r="GU2" s="110"/>
      <c r="GV2" s="23"/>
    </row>
    <row r="3" spans="1:204" s="6" customFormat="1" ht="121.2" customHeight="1" x14ac:dyDescent="0.3">
      <c r="A3" s="22" t="s">
        <v>0</v>
      </c>
      <c r="B3" s="120" t="s">
        <v>1</v>
      </c>
      <c r="C3" s="137" t="s">
        <v>26</v>
      </c>
      <c r="D3" s="138"/>
      <c r="E3" s="138"/>
      <c r="F3" s="138"/>
      <c r="G3" s="139"/>
      <c r="H3" s="154" t="s">
        <v>38</v>
      </c>
      <c r="I3" s="155"/>
      <c r="J3" s="155"/>
      <c r="K3" s="155"/>
      <c r="L3" s="155"/>
      <c r="M3" s="156"/>
      <c r="N3" s="137" t="s">
        <v>39</v>
      </c>
      <c r="O3" s="138"/>
      <c r="P3" s="138"/>
      <c r="Q3" s="138"/>
      <c r="R3" s="139"/>
      <c r="S3" s="154" t="s">
        <v>40</v>
      </c>
      <c r="T3" s="155"/>
      <c r="U3" s="155"/>
      <c r="V3" s="155"/>
      <c r="W3" s="156"/>
      <c r="X3" s="140" t="s">
        <v>116</v>
      </c>
      <c r="Y3" s="141"/>
      <c r="Z3" s="141"/>
      <c r="AA3" s="141"/>
      <c r="AB3" s="142"/>
      <c r="AC3" s="137" t="s">
        <v>117</v>
      </c>
      <c r="AD3" s="138"/>
      <c r="AE3" s="138"/>
      <c r="AF3" s="138"/>
      <c r="AG3" s="139"/>
      <c r="AH3" s="137" t="s">
        <v>118</v>
      </c>
      <c r="AI3" s="138"/>
      <c r="AJ3" s="138"/>
      <c r="AK3" s="138"/>
      <c r="AL3" s="139"/>
      <c r="AM3" s="137" t="s">
        <v>119</v>
      </c>
      <c r="AN3" s="138"/>
      <c r="AO3" s="138"/>
      <c r="AP3" s="138"/>
      <c r="AQ3" s="139"/>
      <c r="AR3" s="137" t="s">
        <v>120</v>
      </c>
      <c r="AS3" s="138"/>
      <c r="AT3" s="138"/>
      <c r="AU3" s="138"/>
      <c r="AV3" s="139"/>
      <c r="AW3" s="137" t="s">
        <v>123</v>
      </c>
      <c r="AX3" s="138"/>
      <c r="AY3" s="138"/>
      <c r="AZ3" s="138"/>
      <c r="BA3" s="139"/>
      <c r="BB3" s="121" t="s">
        <v>133</v>
      </c>
      <c r="BC3" s="122" t="s">
        <v>173</v>
      </c>
      <c r="BD3" s="123" t="s">
        <v>166</v>
      </c>
      <c r="BE3" s="137" t="s">
        <v>41</v>
      </c>
      <c r="BF3" s="138"/>
      <c r="BG3" s="138"/>
      <c r="BH3" s="138"/>
      <c r="BI3" s="139"/>
      <c r="BJ3" s="140" t="s">
        <v>27</v>
      </c>
      <c r="BK3" s="141"/>
      <c r="BL3" s="141"/>
      <c r="BM3" s="142"/>
      <c r="BN3" s="137" t="s">
        <v>28</v>
      </c>
      <c r="BO3" s="138"/>
      <c r="BP3" s="138"/>
      <c r="BQ3" s="138"/>
      <c r="BR3" s="138"/>
      <c r="BS3" s="138"/>
      <c r="BT3" s="139"/>
      <c r="BU3" s="137" t="s">
        <v>63</v>
      </c>
      <c r="BV3" s="138"/>
      <c r="BW3" s="138"/>
      <c r="BX3" s="138"/>
      <c r="BY3" s="139"/>
      <c r="BZ3" s="137" t="s">
        <v>43</v>
      </c>
      <c r="CA3" s="138"/>
      <c r="CB3" s="138"/>
      <c r="CC3" s="138"/>
      <c r="CD3" s="139"/>
      <c r="CE3" s="137" t="s">
        <v>44</v>
      </c>
      <c r="CF3" s="138"/>
      <c r="CG3" s="138"/>
      <c r="CH3" s="138"/>
      <c r="CI3" s="139"/>
      <c r="CJ3" s="137" t="s">
        <v>137</v>
      </c>
      <c r="CK3" s="138"/>
      <c r="CL3" s="138"/>
      <c r="CM3" s="139"/>
      <c r="CN3" s="121" t="s">
        <v>133</v>
      </c>
      <c r="CO3" s="124" t="s">
        <v>174</v>
      </c>
      <c r="CP3" s="125" t="s">
        <v>167</v>
      </c>
      <c r="CQ3" s="140" t="s">
        <v>83</v>
      </c>
      <c r="CR3" s="141"/>
      <c r="CS3" s="141"/>
      <c r="CT3" s="141"/>
      <c r="CU3" s="142"/>
      <c r="CV3" s="140" t="s">
        <v>29</v>
      </c>
      <c r="CW3" s="141"/>
      <c r="CX3" s="142"/>
      <c r="CY3" s="140" t="s">
        <v>47</v>
      </c>
      <c r="CZ3" s="141"/>
      <c r="DA3" s="141"/>
      <c r="DB3" s="141"/>
      <c r="DC3" s="142"/>
      <c r="DD3" s="137" t="s">
        <v>88</v>
      </c>
      <c r="DE3" s="138"/>
      <c r="DF3" s="139"/>
      <c r="DG3" s="137" t="s">
        <v>89</v>
      </c>
      <c r="DH3" s="138"/>
      <c r="DI3" s="139"/>
      <c r="DJ3" s="137" t="s">
        <v>142</v>
      </c>
      <c r="DK3" s="138"/>
      <c r="DL3" s="139"/>
      <c r="DM3" s="126" t="s">
        <v>133</v>
      </c>
      <c r="DN3" s="127" t="s">
        <v>175</v>
      </c>
      <c r="DO3" s="123" t="s">
        <v>168</v>
      </c>
      <c r="DP3" s="149" t="s">
        <v>144</v>
      </c>
      <c r="DQ3" s="150"/>
      <c r="DR3" s="150"/>
      <c r="DS3" s="151"/>
      <c r="DT3" s="140" t="s">
        <v>145</v>
      </c>
      <c r="DU3" s="141"/>
      <c r="DV3" s="142"/>
      <c r="DW3" s="140" t="s">
        <v>172</v>
      </c>
      <c r="DX3" s="141"/>
      <c r="DY3" s="141"/>
      <c r="DZ3" s="141"/>
      <c r="EA3" s="142"/>
      <c r="EB3" s="128" t="s">
        <v>133</v>
      </c>
      <c r="EC3" s="129" t="s">
        <v>176</v>
      </c>
      <c r="ED3" s="125" t="s">
        <v>169</v>
      </c>
      <c r="EE3" s="137" t="s">
        <v>33</v>
      </c>
      <c r="EF3" s="138"/>
      <c r="EG3" s="138"/>
      <c r="EH3" s="138"/>
      <c r="EI3" s="139"/>
      <c r="EJ3" s="140" t="s">
        <v>94</v>
      </c>
      <c r="EK3" s="141"/>
      <c r="EL3" s="142"/>
      <c r="EM3" s="162" t="s">
        <v>49</v>
      </c>
      <c r="EN3" s="163"/>
      <c r="EO3" s="163"/>
      <c r="EP3" s="164"/>
      <c r="EQ3" s="162" t="s">
        <v>161</v>
      </c>
      <c r="ER3" s="163"/>
      <c r="ES3" s="164"/>
      <c r="ET3" s="140" t="s">
        <v>52</v>
      </c>
      <c r="EU3" s="141"/>
      <c r="EV3" s="142"/>
      <c r="EW3" s="140" t="s">
        <v>93</v>
      </c>
      <c r="EX3" s="141"/>
      <c r="EY3" s="142"/>
      <c r="EZ3" s="140" t="s">
        <v>55</v>
      </c>
      <c r="FA3" s="141"/>
      <c r="FB3" s="141"/>
      <c r="FC3" s="141"/>
      <c r="FD3" s="142"/>
      <c r="FE3" s="137" t="s">
        <v>91</v>
      </c>
      <c r="FF3" s="138"/>
      <c r="FG3" s="138"/>
      <c r="FH3" s="138"/>
      <c r="FI3" s="139"/>
      <c r="FJ3" s="157" t="s">
        <v>92</v>
      </c>
      <c r="FK3" s="158"/>
      <c r="FL3" s="158"/>
      <c r="FM3" s="159"/>
      <c r="FN3" s="157" t="s">
        <v>151</v>
      </c>
      <c r="FO3" s="158"/>
      <c r="FP3" s="158"/>
      <c r="FQ3" s="159"/>
      <c r="FR3" s="130" t="s">
        <v>133</v>
      </c>
      <c r="FS3" s="127" t="s">
        <v>177</v>
      </c>
      <c r="FT3" s="123" t="s">
        <v>170</v>
      </c>
      <c r="FU3" s="140" t="s">
        <v>35</v>
      </c>
      <c r="FV3" s="141"/>
      <c r="FW3" s="141"/>
      <c r="FX3" s="141"/>
      <c r="FY3" s="142"/>
      <c r="FZ3" s="140" t="s">
        <v>56</v>
      </c>
      <c r="GA3" s="141"/>
      <c r="GB3" s="141"/>
      <c r="GC3" s="141"/>
      <c r="GD3" s="142"/>
      <c r="GE3" s="140" t="s">
        <v>64</v>
      </c>
      <c r="GF3" s="141"/>
      <c r="GG3" s="141"/>
      <c r="GH3" s="141"/>
      <c r="GI3" s="142"/>
      <c r="GJ3" s="140" t="s">
        <v>60</v>
      </c>
      <c r="GK3" s="141"/>
      <c r="GL3" s="142"/>
      <c r="GM3" s="140" t="s">
        <v>61</v>
      </c>
      <c r="GN3" s="141"/>
      <c r="GO3" s="141"/>
      <c r="GP3" s="142"/>
      <c r="GQ3" s="128" t="s">
        <v>133</v>
      </c>
      <c r="GR3" s="124" t="s">
        <v>178</v>
      </c>
      <c r="GS3" s="125" t="s">
        <v>171</v>
      </c>
      <c r="GT3" s="111" t="s">
        <v>37</v>
      </c>
      <c r="GU3" s="112" t="s">
        <v>25</v>
      </c>
      <c r="GV3" s="23" t="s">
        <v>1</v>
      </c>
    </row>
    <row r="4" spans="1:204" s="35" customFormat="1" ht="137.4" customHeight="1" x14ac:dyDescent="0.3">
      <c r="A4" s="14"/>
      <c r="B4" s="14"/>
      <c r="C4" s="51" t="s">
        <v>112</v>
      </c>
      <c r="D4" s="51" t="s">
        <v>113</v>
      </c>
      <c r="E4" s="51" t="s">
        <v>2</v>
      </c>
      <c r="F4" s="52" t="s">
        <v>22</v>
      </c>
      <c r="G4" s="51" t="s">
        <v>114</v>
      </c>
      <c r="H4" s="51" t="s">
        <v>154</v>
      </c>
      <c r="I4" s="51" t="s">
        <v>155</v>
      </c>
      <c r="J4" s="51" t="s">
        <v>2</v>
      </c>
      <c r="K4" s="53">
        <v>100</v>
      </c>
      <c r="L4" s="52" t="s">
        <v>22</v>
      </c>
      <c r="M4" s="51" t="s">
        <v>114</v>
      </c>
      <c r="N4" s="51" t="s">
        <v>73</v>
      </c>
      <c r="O4" s="51" t="s">
        <v>74</v>
      </c>
      <c r="P4" s="51" t="s">
        <v>72</v>
      </c>
      <c r="Q4" s="52" t="s">
        <v>22</v>
      </c>
      <c r="R4" s="51" t="s">
        <v>114</v>
      </c>
      <c r="S4" s="51" t="s">
        <v>156</v>
      </c>
      <c r="T4" s="54" t="s">
        <v>157</v>
      </c>
      <c r="U4" s="51" t="s">
        <v>164</v>
      </c>
      <c r="V4" s="52" t="s">
        <v>22</v>
      </c>
      <c r="W4" s="51" t="s">
        <v>114</v>
      </c>
      <c r="X4" s="55" t="s">
        <v>97</v>
      </c>
      <c r="Y4" s="51" t="s">
        <v>98</v>
      </c>
      <c r="Z4" s="51" t="s">
        <v>2</v>
      </c>
      <c r="AA4" s="52" t="s">
        <v>22</v>
      </c>
      <c r="AB4" s="51" t="s">
        <v>114</v>
      </c>
      <c r="AC4" s="51" t="s">
        <v>99</v>
      </c>
      <c r="AD4" s="51" t="s">
        <v>100</v>
      </c>
      <c r="AE4" s="51" t="s">
        <v>2</v>
      </c>
      <c r="AF4" s="52" t="s">
        <v>22</v>
      </c>
      <c r="AG4" s="51" t="s">
        <v>114</v>
      </c>
      <c r="AH4" s="51" t="s">
        <v>101</v>
      </c>
      <c r="AI4" s="51" t="s">
        <v>102</v>
      </c>
      <c r="AJ4" s="51" t="s">
        <v>2</v>
      </c>
      <c r="AK4" s="52" t="s">
        <v>22</v>
      </c>
      <c r="AL4" s="51" t="s">
        <v>114</v>
      </c>
      <c r="AM4" s="51" t="s">
        <v>159</v>
      </c>
      <c r="AN4" s="51" t="s">
        <v>158</v>
      </c>
      <c r="AO4" s="51" t="s">
        <v>2</v>
      </c>
      <c r="AP4" s="52" t="s">
        <v>22</v>
      </c>
      <c r="AQ4" s="51" t="s">
        <v>114</v>
      </c>
      <c r="AR4" s="51" t="s">
        <v>121</v>
      </c>
      <c r="AS4" s="51" t="s">
        <v>122</v>
      </c>
      <c r="AT4" s="51" t="s">
        <v>2</v>
      </c>
      <c r="AU4" s="52" t="s">
        <v>22</v>
      </c>
      <c r="AV4" s="51" t="s">
        <v>114</v>
      </c>
      <c r="AW4" s="51" t="s">
        <v>124</v>
      </c>
      <c r="AX4" s="51" t="s">
        <v>125</v>
      </c>
      <c r="AY4" s="51" t="s">
        <v>2</v>
      </c>
      <c r="AZ4" s="52" t="s">
        <v>22</v>
      </c>
      <c r="BA4" s="51" t="s">
        <v>114</v>
      </c>
      <c r="BB4" s="51"/>
      <c r="BC4" s="56"/>
      <c r="BD4" s="56"/>
      <c r="BE4" s="51" t="s">
        <v>134</v>
      </c>
      <c r="BF4" s="51" t="s">
        <v>135</v>
      </c>
      <c r="BG4" s="51" t="s">
        <v>2</v>
      </c>
      <c r="BH4" s="52" t="s">
        <v>22</v>
      </c>
      <c r="BI4" s="51" t="s">
        <v>114</v>
      </c>
      <c r="BJ4" s="51" t="s">
        <v>103</v>
      </c>
      <c r="BK4" s="51" t="s">
        <v>2</v>
      </c>
      <c r="BL4" s="52" t="s">
        <v>22</v>
      </c>
      <c r="BM4" s="51" t="s">
        <v>114</v>
      </c>
      <c r="BN4" s="51" t="s">
        <v>104</v>
      </c>
      <c r="BO4" s="51" t="s">
        <v>21</v>
      </c>
      <c r="BP4" s="51" t="s">
        <v>75</v>
      </c>
      <c r="BQ4" s="51" t="s">
        <v>160</v>
      </c>
      <c r="BR4" s="53">
        <v>100</v>
      </c>
      <c r="BS4" s="52" t="s">
        <v>22</v>
      </c>
      <c r="BT4" s="51" t="s">
        <v>114</v>
      </c>
      <c r="BU4" s="51" t="s">
        <v>84</v>
      </c>
      <c r="BV4" s="51" t="s">
        <v>85</v>
      </c>
      <c r="BW4" s="51" t="s">
        <v>2</v>
      </c>
      <c r="BX4" s="52" t="s">
        <v>22</v>
      </c>
      <c r="BY4" s="51" t="s">
        <v>114</v>
      </c>
      <c r="BZ4" s="51" t="s">
        <v>96</v>
      </c>
      <c r="CA4" s="51" t="s">
        <v>81</v>
      </c>
      <c r="CB4" s="51" t="s">
        <v>67</v>
      </c>
      <c r="CC4" s="52" t="s">
        <v>22</v>
      </c>
      <c r="CD4" s="51" t="s">
        <v>114</v>
      </c>
      <c r="CE4" s="57" t="s">
        <v>82</v>
      </c>
      <c r="CF4" s="55" t="s">
        <v>42</v>
      </c>
      <c r="CG4" s="51" t="s">
        <v>2</v>
      </c>
      <c r="CH4" s="52" t="s">
        <v>22</v>
      </c>
      <c r="CI4" s="51" t="s">
        <v>114</v>
      </c>
      <c r="CJ4" s="51" t="s">
        <v>179</v>
      </c>
      <c r="CK4" s="51" t="s">
        <v>138</v>
      </c>
      <c r="CL4" s="52" t="s">
        <v>22</v>
      </c>
      <c r="CM4" s="51" t="s">
        <v>114</v>
      </c>
      <c r="CN4" s="51"/>
      <c r="CO4" s="56"/>
      <c r="CP4" s="56"/>
      <c r="CQ4" s="51" t="s">
        <v>23</v>
      </c>
      <c r="CR4" s="51" t="s">
        <v>24</v>
      </c>
      <c r="CS4" s="51" t="s">
        <v>2</v>
      </c>
      <c r="CT4" s="52" t="s">
        <v>22</v>
      </c>
      <c r="CU4" s="51" t="s">
        <v>114</v>
      </c>
      <c r="CV4" s="51" t="s">
        <v>105</v>
      </c>
      <c r="CW4" s="52" t="s">
        <v>22</v>
      </c>
      <c r="CX4" s="51" t="s">
        <v>114</v>
      </c>
      <c r="CY4" s="51" t="s">
        <v>45</v>
      </c>
      <c r="CZ4" s="51" t="s">
        <v>46</v>
      </c>
      <c r="DA4" s="51" t="s">
        <v>2</v>
      </c>
      <c r="DB4" s="52" t="s">
        <v>22</v>
      </c>
      <c r="DC4" s="51" t="s">
        <v>114</v>
      </c>
      <c r="DD4" s="51" t="s">
        <v>106</v>
      </c>
      <c r="DE4" s="52" t="s">
        <v>22</v>
      </c>
      <c r="DF4" s="51" t="s">
        <v>114</v>
      </c>
      <c r="DG4" s="51" t="s">
        <v>107</v>
      </c>
      <c r="DH4" s="52" t="s">
        <v>22</v>
      </c>
      <c r="DI4" s="51" t="s">
        <v>114</v>
      </c>
      <c r="DJ4" s="51" t="s">
        <v>143</v>
      </c>
      <c r="DK4" s="52" t="s">
        <v>22</v>
      </c>
      <c r="DL4" s="51" t="s">
        <v>114</v>
      </c>
      <c r="DM4" s="51"/>
      <c r="DN4" s="56"/>
      <c r="DO4" s="56"/>
      <c r="DP4" s="51" t="s">
        <v>146</v>
      </c>
      <c r="DQ4" s="51" t="s">
        <v>147</v>
      </c>
      <c r="DR4" s="52" t="s">
        <v>22</v>
      </c>
      <c r="DS4" s="51" t="s">
        <v>114</v>
      </c>
      <c r="DT4" s="51" t="s">
        <v>150</v>
      </c>
      <c r="DU4" s="52" t="s">
        <v>22</v>
      </c>
      <c r="DV4" s="51" t="s">
        <v>114</v>
      </c>
      <c r="DW4" s="51" t="s">
        <v>148</v>
      </c>
      <c r="DX4" s="51" t="s">
        <v>149</v>
      </c>
      <c r="DY4" s="51" t="s">
        <v>2</v>
      </c>
      <c r="DZ4" s="52" t="s">
        <v>22</v>
      </c>
      <c r="EA4" s="51" t="s">
        <v>114</v>
      </c>
      <c r="EB4" s="51"/>
      <c r="EC4" s="56"/>
      <c r="ED4" s="56"/>
      <c r="EE4" s="51" t="s">
        <v>86</v>
      </c>
      <c r="EF4" s="51" t="s">
        <v>165</v>
      </c>
      <c r="EG4" s="51" t="s">
        <v>2</v>
      </c>
      <c r="EH4" s="52" t="s">
        <v>22</v>
      </c>
      <c r="EI4" s="51" t="s">
        <v>114</v>
      </c>
      <c r="EJ4" s="51" t="s">
        <v>76</v>
      </c>
      <c r="EK4" s="52" t="s">
        <v>22</v>
      </c>
      <c r="EL4" s="51" t="s">
        <v>114</v>
      </c>
      <c r="EM4" s="51" t="s">
        <v>90</v>
      </c>
      <c r="EN4" s="51" t="s">
        <v>2</v>
      </c>
      <c r="EO4" s="52" t="s">
        <v>22</v>
      </c>
      <c r="EP4" s="51" t="s">
        <v>114</v>
      </c>
      <c r="EQ4" s="51" t="s">
        <v>51</v>
      </c>
      <c r="ER4" s="52" t="s">
        <v>22</v>
      </c>
      <c r="ES4" s="51" t="s">
        <v>114</v>
      </c>
      <c r="ET4" s="51" t="s">
        <v>50</v>
      </c>
      <c r="EU4" s="52" t="s">
        <v>22</v>
      </c>
      <c r="EV4" s="51" t="s">
        <v>114</v>
      </c>
      <c r="EW4" s="51" t="s">
        <v>53</v>
      </c>
      <c r="EX4" s="52" t="s">
        <v>22</v>
      </c>
      <c r="EY4" s="51" t="s">
        <v>114</v>
      </c>
      <c r="EZ4" s="51" t="s">
        <v>54</v>
      </c>
      <c r="FA4" s="51" t="s">
        <v>95</v>
      </c>
      <c r="FB4" s="51" t="s">
        <v>2</v>
      </c>
      <c r="FC4" s="52" t="s">
        <v>22</v>
      </c>
      <c r="FD4" s="51" t="s">
        <v>114</v>
      </c>
      <c r="FE4" s="51" t="s">
        <v>110</v>
      </c>
      <c r="FF4" s="51" t="s">
        <v>109</v>
      </c>
      <c r="FG4" s="51" t="s">
        <v>2</v>
      </c>
      <c r="FH4" s="52" t="s">
        <v>22</v>
      </c>
      <c r="FI4" s="51" t="s">
        <v>114</v>
      </c>
      <c r="FJ4" s="51" t="s">
        <v>162</v>
      </c>
      <c r="FK4" s="51" t="s">
        <v>108</v>
      </c>
      <c r="FL4" s="52" t="s">
        <v>22</v>
      </c>
      <c r="FM4" s="51" t="s">
        <v>114</v>
      </c>
      <c r="FN4" s="51" t="s">
        <v>152</v>
      </c>
      <c r="FO4" s="51" t="s">
        <v>153</v>
      </c>
      <c r="FP4" s="52" t="s">
        <v>22</v>
      </c>
      <c r="FQ4" s="51" t="s">
        <v>114</v>
      </c>
      <c r="FR4" s="56"/>
      <c r="FS4" s="56"/>
      <c r="FT4" s="56"/>
      <c r="FU4" s="51" t="s">
        <v>79</v>
      </c>
      <c r="FV4" s="51" t="s">
        <v>80</v>
      </c>
      <c r="FW4" s="51" t="s">
        <v>2</v>
      </c>
      <c r="FX4" s="52" t="s">
        <v>22</v>
      </c>
      <c r="FY4" s="51" t="s">
        <v>114</v>
      </c>
      <c r="FZ4" s="51" t="s">
        <v>87</v>
      </c>
      <c r="GA4" s="51" t="s">
        <v>77</v>
      </c>
      <c r="GB4" s="58" t="s">
        <v>2</v>
      </c>
      <c r="GC4" s="52" t="s">
        <v>22</v>
      </c>
      <c r="GD4" s="51" t="s">
        <v>114</v>
      </c>
      <c r="GE4" s="51" t="s">
        <v>57</v>
      </c>
      <c r="GF4" s="51" t="s">
        <v>58</v>
      </c>
      <c r="GG4" s="51" t="s">
        <v>2</v>
      </c>
      <c r="GH4" s="52" t="s">
        <v>22</v>
      </c>
      <c r="GI4" s="51" t="s">
        <v>114</v>
      </c>
      <c r="GJ4" s="51" t="s">
        <v>59</v>
      </c>
      <c r="GK4" s="52" t="s">
        <v>22</v>
      </c>
      <c r="GL4" s="51" t="s">
        <v>114</v>
      </c>
      <c r="GM4" s="51" t="s">
        <v>62</v>
      </c>
      <c r="GN4" s="51" t="s">
        <v>78</v>
      </c>
      <c r="GO4" s="52" t="s">
        <v>22</v>
      </c>
      <c r="GP4" s="51" t="s">
        <v>114</v>
      </c>
      <c r="GQ4" s="56"/>
      <c r="GR4" s="56"/>
      <c r="GS4" s="56"/>
      <c r="GT4" s="51"/>
      <c r="GU4" s="59"/>
      <c r="GV4" s="14"/>
    </row>
    <row r="5" spans="1:204" s="26" customFormat="1" ht="24" customHeight="1" x14ac:dyDescent="0.25">
      <c r="A5" s="25">
        <v>1</v>
      </c>
      <c r="B5" s="25">
        <v>2</v>
      </c>
      <c r="C5" s="60">
        <v>3</v>
      </c>
      <c r="D5" s="61">
        <v>4</v>
      </c>
      <c r="E5" s="60" t="s">
        <v>65</v>
      </c>
      <c r="F5" s="60">
        <v>6</v>
      </c>
      <c r="G5" s="60">
        <v>7</v>
      </c>
      <c r="H5" s="61">
        <v>8</v>
      </c>
      <c r="I5" s="61">
        <v>9</v>
      </c>
      <c r="J5" s="60" t="s">
        <v>115</v>
      </c>
      <c r="K5" s="61">
        <v>11</v>
      </c>
      <c r="L5" s="61">
        <v>12</v>
      </c>
      <c r="M5" s="61">
        <v>13</v>
      </c>
      <c r="N5" s="60">
        <v>14</v>
      </c>
      <c r="O5" s="61">
        <v>15</v>
      </c>
      <c r="P5" s="61" t="s">
        <v>126</v>
      </c>
      <c r="Q5" s="60">
        <v>17</v>
      </c>
      <c r="R5" s="60">
        <v>18</v>
      </c>
      <c r="S5" s="61">
        <v>19</v>
      </c>
      <c r="T5" s="61">
        <v>20</v>
      </c>
      <c r="U5" s="62" t="s">
        <v>127</v>
      </c>
      <c r="V5" s="61">
        <v>22</v>
      </c>
      <c r="W5" s="61">
        <v>23</v>
      </c>
      <c r="X5" s="61">
        <v>24</v>
      </c>
      <c r="Y5" s="60">
        <v>25</v>
      </c>
      <c r="Z5" s="61" t="s">
        <v>66</v>
      </c>
      <c r="AA5" s="61">
        <v>27</v>
      </c>
      <c r="AB5" s="61">
        <v>28</v>
      </c>
      <c r="AC5" s="61">
        <v>29</v>
      </c>
      <c r="AD5" s="61">
        <v>30</v>
      </c>
      <c r="AE5" s="60" t="s">
        <v>128</v>
      </c>
      <c r="AF5" s="61">
        <v>32</v>
      </c>
      <c r="AG5" s="61">
        <v>33</v>
      </c>
      <c r="AH5" s="61">
        <v>34</v>
      </c>
      <c r="AI5" s="60">
        <v>35</v>
      </c>
      <c r="AJ5" s="60" t="s">
        <v>132</v>
      </c>
      <c r="AK5" s="61">
        <v>37</v>
      </c>
      <c r="AL5" s="61">
        <v>38</v>
      </c>
      <c r="AM5" s="61">
        <v>39</v>
      </c>
      <c r="AN5" s="61">
        <v>40</v>
      </c>
      <c r="AO5" s="60" t="s">
        <v>129</v>
      </c>
      <c r="AP5" s="61">
        <v>42</v>
      </c>
      <c r="AQ5" s="61">
        <v>43</v>
      </c>
      <c r="AR5" s="61">
        <v>44</v>
      </c>
      <c r="AS5" s="61">
        <v>45</v>
      </c>
      <c r="AT5" s="60" t="s">
        <v>130</v>
      </c>
      <c r="AU5" s="61">
        <v>47</v>
      </c>
      <c r="AV5" s="61">
        <v>48</v>
      </c>
      <c r="AW5" s="61">
        <v>49</v>
      </c>
      <c r="AX5" s="61">
        <v>50</v>
      </c>
      <c r="AY5" s="60" t="s">
        <v>131</v>
      </c>
      <c r="AZ5" s="61">
        <v>52</v>
      </c>
      <c r="BA5" s="61">
        <v>53</v>
      </c>
      <c r="BB5" s="61">
        <v>54</v>
      </c>
      <c r="BC5" s="60">
        <v>55</v>
      </c>
      <c r="BD5" s="60">
        <v>56</v>
      </c>
      <c r="BE5" s="61">
        <v>57</v>
      </c>
      <c r="BF5" s="61">
        <v>58</v>
      </c>
      <c r="BG5" s="60" t="s">
        <v>136</v>
      </c>
      <c r="BH5" s="61">
        <v>60</v>
      </c>
      <c r="BI5" s="61">
        <v>61</v>
      </c>
      <c r="BJ5" s="61">
        <v>62</v>
      </c>
      <c r="BK5" s="60">
        <v>63</v>
      </c>
      <c r="BL5" s="61">
        <v>64</v>
      </c>
      <c r="BM5" s="61">
        <v>65</v>
      </c>
      <c r="BN5" s="61">
        <v>66</v>
      </c>
      <c r="BO5" s="60">
        <v>67</v>
      </c>
      <c r="BP5" s="61">
        <v>68</v>
      </c>
      <c r="BQ5" s="61">
        <v>69</v>
      </c>
      <c r="BR5" s="61"/>
      <c r="BS5" s="61">
        <v>70</v>
      </c>
      <c r="BT5" s="61">
        <v>71</v>
      </c>
      <c r="BU5" s="60">
        <v>72</v>
      </c>
      <c r="BV5" s="61">
        <v>73</v>
      </c>
      <c r="BW5" s="60" t="s">
        <v>139</v>
      </c>
      <c r="BX5" s="60">
        <v>75</v>
      </c>
      <c r="BY5" s="60">
        <v>76</v>
      </c>
      <c r="BZ5" s="61">
        <v>77</v>
      </c>
      <c r="CA5" s="61">
        <v>78</v>
      </c>
      <c r="CB5" s="60" t="s">
        <v>140</v>
      </c>
      <c r="CC5" s="61">
        <v>80</v>
      </c>
      <c r="CD5" s="61">
        <v>81</v>
      </c>
      <c r="CE5" s="61">
        <v>82</v>
      </c>
      <c r="CF5" s="60">
        <v>83</v>
      </c>
      <c r="CG5" s="60" t="s">
        <v>141</v>
      </c>
      <c r="CH5" s="61">
        <v>85</v>
      </c>
      <c r="CI5" s="61">
        <v>86</v>
      </c>
      <c r="CJ5" s="61">
        <v>87</v>
      </c>
      <c r="CK5" s="61">
        <v>88</v>
      </c>
      <c r="CL5" s="61">
        <v>89</v>
      </c>
      <c r="CM5" s="61">
        <v>90</v>
      </c>
      <c r="CN5" s="61">
        <v>91</v>
      </c>
      <c r="CO5" s="60">
        <v>92</v>
      </c>
      <c r="CP5" s="60">
        <v>93</v>
      </c>
      <c r="CQ5" s="61">
        <v>61</v>
      </c>
      <c r="CR5" s="61">
        <v>62</v>
      </c>
      <c r="CS5" s="60">
        <v>94</v>
      </c>
      <c r="CT5" s="61">
        <v>95</v>
      </c>
      <c r="CU5" s="61">
        <v>96</v>
      </c>
      <c r="CV5" s="61">
        <v>97</v>
      </c>
      <c r="CW5" s="60">
        <v>98</v>
      </c>
      <c r="CX5" s="60">
        <v>99</v>
      </c>
      <c r="CY5" s="61">
        <v>100</v>
      </c>
      <c r="CZ5" s="61">
        <v>101</v>
      </c>
      <c r="DA5" s="60">
        <v>102</v>
      </c>
      <c r="DB5" s="61">
        <v>103</v>
      </c>
      <c r="DC5" s="61">
        <v>104</v>
      </c>
      <c r="DD5" s="61">
        <v>105</v>
      </c>
      <c r="DE5" s="61">
        <v>106</v>
      </c>
      <c r="DF5" s="61">
        <v>107</v>
      </c>
      <c r="DG5" s="61">
        <v>108</v>
      </c>
      <c r="DH5" s="61">
        <v>109</v>
      </c>
      <c r="DI5" s="61">
        <v>110</v>
      </c>
      <c r="DJ5" s="61">
        <v>111</v>
      </c>
      <c r="DK5" s="61">
        <v>112</v>
      </c>
      <c r="DL5" s="61">
        <v>113</v>
      </c>
      <c r="DM5" s="61">
        <v>114</v>
      </c>
      <c r="DN5" s="60">
        <v>115</v>
      </c>
      <c r="DO5" s="60">
        <v>116</v>
      </c>
      <c r="DP5" s="61">
        <v>117</v>
      </c>
      <c r="DQ5" s="60">
        <v>118</v>
      </c>
      <c r="DR5" s="60">
        <v>119</v>
      </c>
      <c r="DS5" s="61">
        <v>120</v>
      </c>
      <c r="DT5" s="60">
        <v>121</v>
      </c>
      <c r="DU5" s="60">
        <v>122</v>
      </c>
      <c r="DV5" s="61">
        <v>123</v>
      </c>
      <c r="DW5" s="60">
        <v>124</v>
      </c>
      <c r="DX5" s="60">
        <v>125</v>
      </c>
      <c r="DY5" s="61">
        <v>126</v>
      </c>
      <c r="DZ5" s="60">
        <v>127</v>
      </c>
      <c r="EA5" s="60">
        <v>128</v>
      </c>
      <c r="EB5" s="61">
        <v>129</v>
      </c>
      <c r="EC5" s="60">
        <v>130</v>
      </c>
      <c r="ED5" s="60">
        <v>131</v>
      </c>
      <c r="EE5" s="61">
        <v>132</v>
      </c>
      <c r="EF5" s="60">
        <v>133</v>
      </c>
      <c r="EG5" s="60">
        <v>134</v>
      </c>
      <c r="EH5" s="61">
        <v>135</v>
      </c>
      <c r="EI5" s="60">
        <v>136</v>
      </c>
      <c r="EJ5" s="61">
        <v>137</v>
      </c>
      <c r="EK5" s="60">
        <v>138</v>
      </c>
      <c r="EL5" s="60">
        <v>139</v>
      </c>
      <c r="EM5" s="61">
        <v>140</v>
      </c>
      <c r="EN5" s="60">
        <v>141</v>
      </c>
      <c r="EO5" s="63">
        <v>142</v>
      </c>
      <c r="EP5" s="61">
        <v>143</v>
      </c>
      <c r="EQ5" s="60">
        <v>144</v>
      </c>
      <c r="ER5" s="61">
        <v>145</v>
      </c>
      <c r="ES5" s="60">
        <v>146</v>
      </c>
      <c r="ET5" s="60">
        <v>147</v>
      </c>
      <c r="EU5" s="61">
        <v>148</v>
      </c>
      <c r="EV5" s="60">
        <v>149</v>
      </c>
      <c r="EW5" s="60">
        <v>150</v>
      </c>
      <c r="EX5" s="61">
        <v>151</v>
      </c>
      <c r="EY5" s="60">
        <v>152</v>
      </c>
      <c r="EZ5" s="61">
        <v>153</v>
      </c>
      <c r="FA5" s="60">
        <v>154</v>
      </c>
      <c r="FB5" s="60">
        <v>155</v>
      </c>
      <c r="FC5" s="61">
        <v>156</v>
      </c>
      <c r="FD5" s="60">
        <v>157</v>
      </c>
      <c r="FE5" s="60">
        <v>158</v>
      </c>
      <c r="FF5" s="61">
        <v>159</v>
      </c>
      <c r="FG5" s="60">
        <v>160</v>
      </c>
      <c r="FH5" s="61">
        <v>161</v>
      </c>
      <c r="FI5" s="60">
        <v>162</v>
      </c>
      <c r="FJ5" s="60">
        <v>163</v>
      </c>
      <c r="FK5" s="61">
        <v>164</v>
      </c>
      <c r="FL5" s="60">
        <v>165</v>
      </c>
      <c r="FM5" s="60">
        <v>166</v>
      </c>
      <c r="FN5" s="61">
        <v>167</v>
      </c>
      <c r="FO5" s="60">
        <v>168</v>
      </c>
      <c r="FP5" s="61">
        <v>169</v>
      </c>
      <c r="FQ5" s="60">
        <v>170</v>
      </c>
      <c r="FR5" s="60">
        <v>171</v>
      </c>
      <c r="FS5" s="61">
        <v>172</v>
      </c>
      <c r="FT5" s="60">
        <v>173</v>
      </c>
      <c r="FU5" s="60">
        <v>174</v>
      </c>
      <c r="FV5" s="61">
        <v>175</v>
      </c>
      <c r="FW5" s="60">
        <v>176</v>
      </c>
      <c r="FX5" s="61">
        <v>177</v>
      </c>
      <c r="FY5" s="60">
        <v>178</v>
      </c>
      <c r="FZ5" s="60">
        <v>179</v>
      </c>
      <c r="GA5" s="61">
        <v>180</v>
      </c>
      <c r="GB5" s="60">
        <v>181</v>
      </c>
      <c r="GC5" s="60">
        <v>182</v>
      </c>
      <c r="GD5" s="61">
        <v>183</v>
      </c>
      <c r="GE5" s="60">
        <v>184</v>
      </c>
      <c r="GF5" s="61">
        <v>185</v>
      </c>
      <c r="GG5" s="60">
        <v>186</v>
      </c>
      <c r="GH5" s="60">
        <v>187</v>
      </c>
      <c r="GI5" s="61">
        <v>188</v>
      </c>
      <c r="GJ5" s="60">
        <v>189</v>
      </c>
      <c r="GK5" s="60">
        <v>190</v>
      </c>
      <c r="GL5" s="61">
        <v>191</v>
      </c>
      <c r="GM5" s="60">
        <v>192</v>
      </c>
      <c r="GN5" s="61">
        <v>193</v>
      </c>
      <c r="GO5" s="60">
        <v>194</v>
      </c>
      <c r="GP5" s="60">
        <v>195</v>
      </c>
      <c r="GQ5" s="61">
        <v>196</v>
      </c>
      <c r="GR5" s="60">
        <v>197</v>
      </c>
      <c r="GS5" s="60">
        <v>198</v>
      </c>
      <c r="GT5" s="61">
        <v>199</v>
      </c>
      <c r="GU5" s="64">
        <v>200</v>
      </c>
      <c r="GV5" s="25">
        <v>2</v>
      </c>
    </row>
    <row r="6" spans="1:204" s="1" customFormat="1" ht="15.6" x14ac:dyDescent="0.3">
      <c r="A6" s="13">
        <v>1</v>
      </c>
      <c r="B6" s="15" t="s">
        <v>3</v>
      </c>
      <c r="C6" s="65">
        <v>10998.79</v>
      </c>
      <c r="D6" s="65">
        <v>10388.040000000001</v>
      </c>
      <c r="E6" s="66">
        <f t="shared" ref="E6:E23" si="0">D6/C6*100</f>
        <v>94.447116455537383</v>
      </c>
      <c r="F6" s="67">
        <f t="shared" ref="F6:F22" si="1">RANK(E6,$E$6:$E$22)</f>
        <v>14</v>
      </c>
      <c r="G6" s="66">
        <v>0.13</v>
      </c>
      <c r="H6" s="68">
        <v>9883.34</v>
      </c>
      <c r="I6" s="69">
        <v>10388.040000000001</v>
      </c>
      <c r="J6" s="37">
        <f t="shared" ref="J6:J23" si="2">I6/H6*100</f>
        <v>105.10657328393035</v>
      </c>
      <c r="K6" s="37">
        <f>ABS(J6-K4)</f>
        <v>5.106573283930345</v>
      </c>
      <c r="L6" s="38">
        <f t="shared" ref="L6:L22" si="3">RANK(K6,$K$6:$K$22,1)</f>
        <v>13</v>
      </c>
      <c r="M6" s="70">
        <v>0.1</v>
      </c>
      <c r="N6" s="71">
        <v>2586.08</v>
      </c>
      <c r="O6" s="72">
        <f t="shared" ref="O6:O22" si="4">BF6</f>
        <v>3789</v>
      </c>
      <c r="P6" s="73">
        <f t="shared" ref="P6:P23" si="5">N6/O6</f>
        <v>0.68252309316442328</v>
      </c>
      <c r="Q6" s="38">
        <f t="shared" ref="Q6:Q22" si="6">RANK(P6,$P$6:$P$22)</f>
        <v>16</v>
      </c>
      <c r="R6" s="70">
        <v>0.1</v>
      </c>
      <c r="S6" s="71">
        <v>21768.73</v>
      </c>
      <c r="T6" s="71">
        <v>21237.56</v>
      </c>
      <c r="U6" s="37">
        <f t="shared" ref="U6:U23" si="7">T6/S6*100</f>
        <v>97.559940336436725</v>
      </c>
      <c r="V6" s="38">
        <f t="shared" ref="V6:V22" si="8">RANK(U6,$U$6:$U$22)</f>
        <v>11</v>
      </c>
      <c r="W6" s="70">
        <v>0.1</v>
      </c>
      <c r="X6" s="71">
        <v>18197.66835</v>
      </c>
      <c r="Y6" s="71">
        <v>3425.53892</v>
      </c>
      <c r="Z6" s="37">
        <f t="shared" ref="Z6:Z23" si="9">Y6/X6*100</f>
        <v>18.824054016788367</v>
      </c>
      <c r="AA6" s="67">
        <f t="shared" ref="AA6:AA22" si="10">RANK(Z6,$Z$6:$Z$22,1)</f>
        <v>7</v>
      </c>
      <c r="AB6" s="70">
        <v>0.1</v>
      </c>
      <c r="AC6" s="28">
        <v>21237.56</v>
      </c>
      <c r="AD6" s="28">
        <v>4670.2</v>
      </c>
      <c r="AE6" s="66">
        <f t="shared" ref="AE6:AE23" si="11">AD6/AC6*100</f>
        <v>21.990285136333927</v>
      </c>
      <c r="AF6" s="67">
        <f t="shared" ref="AF6:AF22" si="12">RANK(AE6,$AE$6:$AE$22)</f>
        <v>4</v>
      </c>
      <c r="AG6" s="66">
        <v>0.13</v>
      </c>
      <c r="AH6" s="33">
        <v>0</v>
      </c>
      <c r="AI6" s="28">
        <v>21768.73</v>
      </c>
      <c r="AJ6" s="27">
        <f t="shared" ref="AJ6:AJ23" si="13">AH6/AI6*100</f>
        <v>0</v>
      </c>
      <c r="AK6" s="45">
        <f t="shared" ref="AK6:AK22" si="14">RANK(AJ6,$AJ$6:$AJ$22,1)</f>
        <v>1</v>
      </c>
      <c r="AL6" s="30">
        <v>0.12</v>
      </c>
      <c r="AM6" s="27">
        <v>0</v>
      </c>
      <c r="AN6" s="28">
        <v>10388.040000000001</v>
      </c>
      <c r="AO6" s="29">
        <f t="shared" ref="AO6:AO22" si="15">AM6/AN6*100</f>
        <v>0</v>
      </c>
      <c r="AP6" s="45">
        <f t="shared" ref="AP6:AP22" si="16">RANK(AO6,$AO$6:$AO$22,1)</f>
        <v>1</v>
      </c>
      <c r="AQ6" s="30">
        <v>0.12</v>
      </c>
      <c r="AR6" s="28">
        <v>0</v>
      </c>
      <c r="AS6" s="28">
        <v>0</v>
      </c>
      <c r="AT6" s="66">
        <v>0</v>
      </c>
      <c r="AU6" s="67">
        <f t="shared" ref="AU6:AU22" si="17">RANK(AT6,$AT$6:$AT$22)</f>
        <v>5</v>
      </c>
      <c r="AV6" s="30">
        <v>0.05</v>
      </c>
      <c r="AW6" s="28">
        <v>766344.31</v>
      </c>
      <c r="AX6" s="28">
        <v>0</v>
      </c>
      <c r="AY6" s="74">
        <f t="shared" ref="AY6:AY22" si="18">AX6/AW6*100</f>
        <v>0</v>
      </c>
      <c r="AZ6" s="67">
        <f t="shared" ref="AZ6:AZ22" si="19">RANK(AY6,$AY$6:$AY$22)</f>
        <v>12</v>
      </c>
      <c r="BA6" s="30">
        <v>0.05</v>
      </c>
      <c r="BB6" s="66">
        <f t="shared" ref="BB6:BB22" si="20">G6+M6+R6+W6+AB6+AG6+AL6+AQ6+AV6+BA6</f>
        <v>1</v>
      </c>
      <c r="BC6" s="75">
        <f>(F6*G6+L6*M6+Q6*R6+V6*W6+AA6*AB6+AF6*AG6+AK6*AL6+AP6*AQ6+AU6*AV6+AZ6*BA6)</f>
        <v>8.1300000000000008</v>
      </c>
      <c r="BD6" s="67">
        <f>RANK(BC6,$BC$6:$BC$22,1)</f>
        <v>9</v>
      </c>
      <c r="BE6" s="72">
        <v>3714</v>
      </c>
      <c r="BF6" s="72">
        <v>3789</v>
      </c>
      <c r="BG6" s="37">
        <f t="shared" ref="BG6:BG23" si="21">BF6/BE6*100</f>
        <v>102.01938610662357</v>
      </c>
      <c r="BH6" s="38">
        <f t="shared" ref="BH6:BH22" si="22">RANK(BG6,$BG$6:$BG$22)</f>
        <v>7</v>
      </c>
      <c r="BI6" s="37">
        <v>0.12</v>
      </c>
      <c r="BJ6" s="30">
        <v>19</v>
      </c>
      <c r="BK6" s="66">
        <f t="shared" ref="BK6:BK22" si="23">BJ6/26</f>
        <v>0.73076923076923073</v>
      </c>
      <c r="BL6" s="67">
        <f t="shared" ref="BL6:BL22" si="24">RANK(BK6,$BK$6:$BK$22)</f>
        <v>10</v>
      </c>
      <c r="BM6" s="66">
        <v>0.12</v>
      </c>
      <c r="BN6" s="28">
        <v>3724.7</v>
      </c>
      <c r="BO6" s="30">
        <v>9.1</v>
      </c>
      <c r="BP6" s="28">
        <f t="shared" ref="BP6:BP23" si="25">BN6/BO6/12*1000</f>
        <v>34108.974358974359</v>
      </c>
      <c r="BQ6" s="76">
        <f t="shared" ref="BQ6:BQ23" si="26">(BP6/32795.6*100)</f>
        <v>104.00472733834528</v>
      </c>
      <c r="BR6" s="70">
        <f>ABS(BQ6-BR4)</f>
        <v>4.0047273383452762</v>
      </c>
      <c r="BS6" s="67">
        <f t="shared" ref="BS6:BS22" si="27">RANK(BR6,$BR$6:$BR$22,1)</f>
        <v>13</v>
      </c>
      <c r="BT6" s="66">
        <v>0.15</v>
      </c>
      <c r="BU6" s="36">
        <v>8</v>
      </c>
      <c r="BV6" s="36">
        <v>9</v>
      </c>
      <c r="BW6" s="70">
        <f t="shared" ref="BW6:BW19" si="28">BU6/BV6*100</f>
        <v>88.888888888888886</v>
      </c>
      <c r="BX6" s="38">
        <f t="shared" ref="BX6:BX22" si="29">RANK(BW6,$BW$6:$BW$22,1)</f>
        <v>7</v>
      </c>
      <c r="BY6" s="37">
        <v>0.11</v>
      </c>
      <c r="BZ6" s="36">
        <v>0</v>
      </c>
      <c r="CA6" s="36">
        <v>215</v>
      </c>
      <c r="CB6" s="37">
        <f t="shared" ref="CB6:CB23" si="30">BZ6/CA6*100</f>
        <v>0</v>
      </c>
      <c r="CC6" s="38">
        <f t="shared" ref="CC6:CC22" si="31">RANK(CB6,$CB$6:$CB$22)</f>
        <v>11</v>
      </c>
      <c r="CD6" s="37">
        <v>0.03</v>
      </c>
      <c r="CE6" s="36">
        <v>4</v>
      </c>
      <c r="CF6" s="36">
        <v>4</v>
      </c>
      <c r="CG6" s="37">
        <f t="shared" ref="CG6:CG23" si="32">CE6/CF6*100</f>
        <v>100</v>
      </c>
      <c r="CH6" s="38">
        <f t="shared" ref="CH6:CH22" si="33">RANK(CG6,$CG$6:$CG$22)</f>
        <v>1</v>
      </c>
      <c r="CI6" s="37">
        <v>7.0000000000000007E-2</v>
      </c>
      <c r="CJ6" s="36">
        <v>0</v>
      </c>
      <c r="CK6" s="37">
        <f t="shared" ref="CK6:CK22" si="34">CJ6/BF6*1000</f>
        <v>0</v>
      </c>
      <c r="CL6" s="38">
        <f t="shared" ref="CL6:CL22" si="35">RANK(CK6,$CK$6:$CK$22)</f>
        <v>2</v>
      </c>
      <c r="CM6" s="70">
        <v>0.1</v>
      </c>
      <c r="CN6" s="70">
        <f t="shared" ref="CN6:CN22" si="36">BI6+BM6+BT6+BY6+CD6+CI6+CM6</f>
        <v>0.70000000000000007</v>
      </c>
      <c r="CO6" s="75">
        <f>(BH6*BI6+BL6*BM6+BS6*BT6+BX6*BY6+CC6*CD6+CH6*CI6+CL6*CM6)</f>
        <v>5.36</v>
      </c>
      <c r="CP6" s="67">
        <f>RANK(CO6,$CO$6:$CO$22,1)</f>
        <v>10</v>
      </c>
      <c r="CQ6" s="77"/>
      <c r="CR6" s="77"/>
      <c r="CS6" s="66">
        <v>91.3</v>
      </c>
      <c r="CT6" s="67">
        <f t="shared" ref="CT6:CT22" si="37">RANK(CS6,$CS$6:$CS$22)</f>
        <v>14</v>
      </c>
      <c r="CU6" s="66">
        <v>0.06</v>
      </c>
      <c r="CV6" s="66">
        <v>0</v>
      </c>
      <c r="CW6" s="67">
        <f t="shared" ref="CW6:CW22" si="38">RANK(CV6,$CV$6:$CV$22,1)</f>
        <v>1</v>
      </c>
      <c r="CX6" s="66">
        <v>0.02</v>
      </c>
      <c r="CY6" s="72"/>
      <c r="CZ6" s="72"/>
      <c r="DA6" s="78">
        <v>0</v>
      </c>
      <c r="DB6" s="38">
        <f t="shared" ref="DB6:DB22" si="39">RANK(DA6,$DA$6:$DA$22,1)</f>
        <v>1</v>
      </c>
      <c r="DC6" s="37">
        <v>0.02</v>
      </c>
      <c r="DD6" s="78">
        <v>0.64100000000000001</v>
      </c>
      <c r="DE6" s="38">
        <f t="shared" ref="DE6:DE22" si="40">RANK(DD6,$DD$6:$DD$22,1)</f>
        <v>13</v>
      </c>
      <c r="DF6" s="70">
        <v>0.2</v>
      </c>
      <c r="DG6" s="66">
        <v>79.3165825438209</v>
      </c>
      <c r="DH6" s="38">
        <f t="shared" ref="DH6:DH22" si="41">RANK(DG6,$DG$6:$DG$22)</f>
        <v>10</v>
      </c>
      <c r="DI6" s="70">
        <v>0.1</v>
      </c>
      <c r="DJ6" s="36">
        <v>2</v>
      </c>
      <c r="DK6" s="38">
        <f t="shared" ref="DK6:DK22" si="42">RANK(DJ6,$DJ$6:$DJ$22)</f>
        <v>11</v>
      </c>
      <c r="DL6" s="70">
        <v>0.2</v>
      </c>
      <c r="DM6" s="70">
        <f t="shared" ref="DM6:DM22" si="43">CU6+CX6+DC6+DF6+DI6+DL6</f>
        <v>0.60000000000000009</v>
      </c>
      <c r="DN6" s="75">
        <f>(CT6*CU6+CW6*CX6+DB6*DC6+DE6*DF6+DH6*DI6+DK6*DL6)</f>
        <v>6.6800000000000006</v>
      </c>
      <c r="DO6" s="67">
        <f>RANK(DN6,$DN$6:$DN$22,1)</f>
        <v>13</v>
      </c>
      <c r="DP6" s="72">
        <v>3</v>
      </c>
      <c r="DQ6" s="37">
        <v>1</v>
      </c>
      <c r="DR6" s="38">
        <f t="shared" ref="DR6:DR22" si="44">RANK(DQ6,$DQ$6:$DQ$22)</f>
        <v>1</v>
      </c>
      <c r="DS6" s="70">
        <v>0.1</v>
      </c>
      <c r="DT6" s="36">
        <v>0</v>
      </c>
      <c r="DU6" s="38">
        <f t="shared" ref="DU6:DU22" si="45">RANK(DT6,$DT$6:$DT$22)</f>
        <v>11</v>
      </c>
      <c r="DV6" s="37">
        <v>0.15</v>
      </c>
      <c r="DW6" s="36"/>
      <c r="DX6" s="36"/>
      <c r="DY6" s="36" t="e">
        <f t="shared" ref="DY6:DY22" si="46">DX6/DW6*100</f>
        <v>#DIV/0!</v>
      </c>
      <c r="DZ6" s="38" t="e">
        <f t="shared" ref="DZ6:DZ22" si="47">RANK(DY6,$DY$6:$DY$22)</f>
        <v>#DIV/0!</v>
      </c>
      <c r="EA6" s="37">
        <v>0.05</v>
      </c>
      <c r="EB6" s="37">
        <f t="shared" ref="EB6:EB22" si="48">DS6+DV6+EA6</f>
        <v>0.3</v>
      </c>
      <c r="EC6" s="75">
        <f>(DR6*DS6+DU6*DV6)</f>
        <v>1.75</v>
      </c>
      <c r="ED6" s="67">
        <f>RANK(EC6,$EC$6:$EC$22,1)</f>
        <v>11</v>
      </c>
      <c r="EE6" s="79">
        <v>73</v>
      </c>
      <c r="EF6" s="79">
        <v>74</v>
      </c>
      <c r="EG6" s="80">
        <f t="shared" ref="EG6:EG23" si="49">EE6/EF6*100</f>
        <v>98.648648648648646</v>
      </c>
      <c r="EH6" s="81">
        <f t="shared" ref="EH6:EH22" si="50">RANK(EG6,$EG$6:$EG$22)</f>
        <v>10</v>
      </c>
      <c r="EI6" s="66">
        <v>0.2</v>
      </c>
      <c r="EJ6" s="70">
        <v>46</v>
      </c>
      <c r="EK6" s="38">
        <f t="shared" ref="EK6:EK22" si="51">RANK(EJ6,$EJ$6:$EJ$22)</f>
        <v>14</v>
      </c>
      <c r="EL6" s="37">
        <v>0.2</v>
      </c>
      <c r="EM6" s="36">
        <v>26</v>
      </c>
      <c r="EN6" s="37">
        <f t="shared" ref="EN6:EN22" si="52">EM6/26*100</f>
        <v>100</v>
      </c>
      <c r="EO6" s="38">
        <f t="shared" ref="EO6:EO22" si="53">RANK(EN6,$EN$6:$EN$22)</f>
        <v>1</v>
      </c>
      <c r="EP6" s="70">
        <v>0.1</v>
      </c>
      <c r="EQ6" s="36">
        <v>1</v>
      </c>
      <c r="ER6" s="38">
        <f t="shared" ref="ER6:ER22" si="54">RANK(EQ6,$EQ$6:$EQ$22)</f>
        <v>1</v>
      </c>
      <c r="ES6" s="37">
        <v>0.05</v>
      </c>
      <c r="ET6" s="36">
        <v>1</v>
      </c>
      <c r="EU6" s="38">
        <f t="shared" ref="EU6:EU22" si="55">RANK(ET6,$ET$6:$ET$22)</f>
        <v>1</v>
      </c>
      <c r="EV6" s="37">
        <v>0.05</v>
      </c>
      <c r="EW6" s="36">
        <v>0</v>
      </c>
      <c r="EX6" s="38">
        <f t="shared" ref="EX6:EX22" si="56">RANK(EW6,$EW$6:$EW$22)</f>
        <v>15</v>
      </c>
      <c r="EY6" s="37">
        <v>0.1</v>
      </c>
      <c r="EZ6" s="36">
        <v>5</v>
      </c>
      <c r="FA6" s="36">
        <v>12</v>
      </c>
      <c r="FB6" s="37">
        <f t="shared" ref="FB6:FB23" si="57">EZ6/FA6*100</f>
        <v>41.666666666666671</v>
      </c>
      <c r="FC6" s="38">
        <f t="shared" ref="FC6:FC22" si="58">RANK(FB6,$FB$6:$FB$22,1)</f>
        <v>11</v>
      </c>
      <c r="FD6" s="37">
        <v>0.05</v>
      </c>
      <c r="FE6" s="37">
        <v>21.001615508885301</v>
      </c>
      <c r="FF6" s="37">
        <v>21.377672209026127</v>
      </c>
      <c r="FG6" s="37">
        <f t="shared" ref="FG6:FG22" si="59">FF6/FE6*100</f>
        <v>101.79060844143977</v>
      </c>
      <c r="FH6" s="38">
        <f t="shared" ref="FH6:FH22" si="60">RANK(FG6,$FG$6:$FG$22)</f>
        <v>12</v>
      </c>
      <c r="FI6" s="37">
        <v>0.15</v>
      </c>
      <c r="FJ6" s="36">
        <v>0</v>
      </c>
      <c r="FK6" s="37">
        <f t="shared" ref="FK6:FK22" si="61">FJ6/BF6*1000</f>
        <v>0</v>
      </c>
      <c r="FL6" s="38">
        <f t="shared" ref="FL6:FL22" si="62">RANK(FK6,$FK$6:$FK$22)</f>
        <v>13</v>
      </c>
      <c r="FM6" s="37">
        <v>0.05</v>
      </c>
      <c r="FN6" s="36">
        <v>0</v>
      </c>
      <c r="FO6" s="37">
        <f t="shared" ref="FO6:FO22" si="63">FN6/BF6*1000</f>
        <v>0</v>
      </c>
      <c r="FP6" s="38">
        <f t="shared" ref="FP6:FP22" si="64">RANK(FO6,$FO$6:$FO$22)</f>
        <v>8</v>
      </c>
      <c r="FQ6" s="37">
        <v>0.05</v>
      </c>
      <c r="FR6" s="39">
        <f t="shared" ref="FR6:FR22" si="65">EI6+EL6+EP6+ES6+EV6+EY6+FD6+FI6+FM6+FQ6</f>
        <v>1.0000000000000002</v>
      </c>
      <c r="FS6" s="75">
        <f>(EH6*EI6+EK6*EL6+EO6*EP6+ER6*ES6+EU6*EV6+EX6*EY6+FC6*FD6+FH6*FI6+FL6*FM6+FP6*FQ6)</f>
        <v>9.9</v>
      </c>
      <c r="FT6" s="67">
        <f>RANK(FS6,$FS$6:$FS$22,1)</f>
        <v>17</v>
      </c>
      <c r="FU6" s="30">
        <v>30</v>
      </c>
      <c r="FV6" s="30">
        <v>30</v>
      </c>
      <c r="FW6" s="82">
        <f t="shared" ref="FW6:FW22" si="66">FU6/FV6*100</f>
        <v>100</v>
      </c>
      <c r="FX6" s="67">
        <f t="shared" ref="FX6:FX22" si="67">RANK(FW6,$FW$6:$FW$22)</f>
        <v>1</v>
      </c>
      <c r="FY6" s="83">
        <v>0.1</v>
      </c>
      <c r="FZ6" s="66">
        <f>71/BE6*1000</f>
        <v>19.116855142703287</v>
      </c>
      <c r="GA6" s="66">
        <f>50/BF6*1000</f>
        <v>13.196093956188967</v>
      </c>
      <c r="GB6" s="84">
        <f t="shared" ref="GB6:GB23" si="68">GA6/FZ6*100</f>
        <v>69.028581624346231</v>
      </c>
      <c r="GC6" s="38">
        <f t="shared" ref="GC6:GC22" si="69">RANK(GB6,$GB$6:$GB$22,1)</f>
        <v>3</v>
      </c>
      <c r="GD6" s="70">
        <v>0.1</v>
      </c>
      <c r="GE6" s="85">
        <v>20</v>
      </c>
      <c r="GF6" s="85">
        <v>20</v>
      </c>
      <c r="GG6" s="37">
        <f t="shared" ref="GG6:GG23" si="70">GF6/GE6*100</f>
        <v>100</v>
      </c>
      <c r="GH6" s="38">
        <v>1</v>
      </c>
      <c r="GI6" s="70">
        <v>0.1</v>
      </c>
      <c r="GJ6" s="36">
        <v>10</v>
      </c>
      <c r="GK6" s="38">
        <f t="shared" ref="GK6:GK22" si="71">RANK(GJ6,$GJ$6:$GJ$22,1)</f>
        <v>10</v>
      </c>
      <c r="GL6" s="70">
        <v>0.1</v>
      </c>
      <c r="GM6" s="36">
        <v>3</v>
      </c>
      <c r="GN6" s="37">
        <f t="shared" ref="GN6:GN23" si="72">GM6/BF6*1000</f>
        <v>0.79176563737133809</v>
      </c>
      <c r="GO6" s="38">
        <f t="shared" ref="GO6:GO22" si="73">RANK(GN6,$GN$6:$GN$22,1)</f>
        <v>16</v>
      </c>
      <c r="GP6" s="70">
        <v>0.1</v>
      </c>
      <c r="GQ6" s="86">
        <f t="shared" ref="GQ6:GQ22" si="74">FY6+GD6+GI6+GL6+GP6</f>
        <v>0.5</v>
      </c>
      <c r="GR6" s="75">
        <f>(FX6*FY6+GC6*GD6+GH6*GI6+GK6*GL6+GO6*GP6)</f>
        <v>3.1</v>
      </c>
      <c r="GS6" s="67">
        <f>RANK(GR6,$GR$6:$GR$22,1)</f>
        <v>9</v>
      </c>
      <c r="GT6" s="87">
        <f>(BD6*BB6+CP6*CN6+DO6*DM6+ED6*EB6+FT6*FR6+GS6*GQ6)/6</f>
        <v>8.1000000000000014</v>
      </c>
      <c r="GU6" s="88">
        <f t="shared" ref="GU6:GU22" si="75">RANK(GT6,$GT$6:$GT$22,1)</f>
        <v>15</v>
      </c>
      <c r="GV6" s="15" t="s">
        <v>3</v>
      </c>
    </row>
    <row r="7" spans="1:204" s="5" customFormat="1" ht="15.6" x14ac:dyDescent="0.3">
      <c r="A7" s="13">
        <v>2</v>
      </c>
      <c r="B7" s="15" t="s">
        <v>4</v>
      </c>
      <c r="C7" s="65">
        <v>17526.099999999999</v>
      </c>
      <c r="D7" s="65">
        <v>16642.63</v>
      </c>
      <c r="E7" s="66">
        <f t="shared" si="0"/>
        <v>94.959118115268097</v>
      </c>
      <c r="F7" s="67">
        <f t="shared" si="1"/>
        <v>13</v>
      </c>
      <c r="G7" s="66">
        <v>0.13</v>
      </c>
      <c r="H7" s="68">
        <v>16024.78</v>
      </c>
      <c r="I7" s="69">
        <v>16642.63</v>
      </c>
      <c r="J7" s="37">
        <f t="shared" si="2"/>
        <v>103.85559115320149</v>
      </c>
      <c r="K7" s="37">
        <f>ABS(J7-K4)</f>
        <v>3.8555911532014875</v>
      </c>
      <c r="L7" s="38">
        <f t="shared" si="3"/>
        <v>11</v>
      </c>
      <c r="M7" s="70">
        <v>0.1</v>
      </c>
      <c r="N7" s="71">
        <v>5460.15</v>
      </c>
      <c r="O7" s="72">
        <f t="shared" si="4"/>
        <v>6589</v>
      </c>
      <c r="P7" s="73">
        <f t="shared" si="5"/>
        <v>0.82867658218242524</v>
      </c>
      <c r="Q7" s="38">
        <f t="shared" si="6"/>
        <v>12</v>
      </c>
      <c r="R7" s="70">
        <v>0.1</v>
      </c>
      <c r="S7" s="71">
        <v>36031.379999999997</v>
      </c>
      <c r="T7" s="71">
        <v>36011.449999999997</v>
      </c>
      <c r="U7" s="37">
        <f t="shared" si="7"/>
        <v>99.944687103297184</v>
      </c>
      <c r="V7" s="38">
        <f t="shared" si="8"/>
        <v>1</v>
      </c>
      <c r="W7" s="70">
        <v>0.1</v>
      </c>
      <c r="X7" s="71">
        <v>29972.958260000003</v>
      </c>
      <c r="Y7" s="71">
        <v>5853.4074900000005</v>
      </c>
      <c r="Z7" s="37">
        <f t="shared" si="9"/>
        <v>19.52896153667816</v>
      </c>
      <c r="AA7" s="67">
        <f t="shared" si="10"/>
        <v>9</v>
      </c>
      <c r="AB7" s="70">
        <v>0.1</v>
      </c>
      <c r="AC7" s="28">
        <v>36011.449999999997</v>
      </c>
      <c r="AD7" s="28">
        <v>6304.5</v>
      </c>
      <c r="AE7" s="66">
        <f t="shared" si="11"/>
        <v>17.506931823072939</v>
      </c>
      <c r="AF7" s="67">
        <f t="shared" si="12"/>
        <v>13</v>
      </c>
      <c r="AG7" s="66">
        <v>0.13</v>
      </c>
      <c r="AH7" s="33">
        <v>0</v>
      </c>
      <c r="AI7" s="28">
        <v>36031.379999999997</v>
      </c>
      <c r="AJ7" s="27">
        <f t="shared" si="13"/>
        <v>0</v>
      </c>
      <c r="AK7" s="45">
        <f t="shared" si="14"/>
        <v>1</v>
      </c>
      <c r="AL7" s="30">
        <v>0.12</v>
      </c>
      <c r="AM7" s="27">
        <v>2.8250000000000001E-2</v>
      </c>
      <c r="AN7" s="28">
        <v>16642.63</v>
      </c>
      <c r="AO7" s="29">
        <f t="shared" si="15"/>
        <v>1.6974480595915428E-4</v>
      </c>
      <c r="AP7" s="45">
        <f t="shared" si="16"/>
        <v>7</v>
      </c>
      <c r="AQ7" s="30">
        <v>0.12</v>
      </c>
      <c r="AR7" s="28">
        <v>0</v>
      </c>
      <c r="AS7" s="28">
        <v>0</v>
      </c>
      <c r="AT7" s="66">
        <v>0</v>
      </c>
      <c r="AU7" s="67">
        <f t="shared" si="17"/>
        <v>5</v>
      </c>
      <c r="AV7" s="30">
        <v>0.05</v>
      </c>
      <c r="AW7" s="28">
        <v>886085.86</v>
      </c>
      <c r="AX7" s="28">
        <v>593294.16</v>
      </c>
      <c r="AY7" s="74">
        <f t="shared" si="18"/>
        <v>66.9567348699143</v>
      </c>
      <c r="AZ7" s="67">
        <f t="shared" si="19"/>
        <v>3</v>
      </c>
      <c r="BA7" s="30">
        <v>0.05</v>
      </c>
      <c r="BB7" s="66">
        <f t="shared" si="20"/>
        <v>1</v>
      </c>
      <c r="BC7" s="75">
        <f t="shared" ref="BC7:BC22" si="76">(F7*G7+L7*M7+Q7*R7+V7*W7+AA7*AB7+AF7*AG7+AK7*AL7+AP7*AQ7+AU7*AV7+AZ7*BA7)</f>
        <v>8.0399999999999991</v>
      </c>
      <c r="BD7" s="67">
        <f t="shared" ref="BD7:BD22" si="77">RANK(BC7,$BC$6:$BC$22,1)</f>
        <v>8</v>
      </c>
      <c r="BE7" s="72">
        <v>6529</v>
      </c>
      <c r="BF7" s="72">
        <v>6589</v>
      </c>
      <c r="BG7" s="37">
        <f t="shared" si="21"/>
        <v>100.91897687241539</v>
      </c>
      <c r="BH7" s="38">
        <f t="shared" si="22"/>
        <v>8</v>
      </c>
      <c r="BI7" s="37">
        <v>0.12</v>
      </c>
      <c r="BJ7" s="30">
        <v>24</v>
      </c>
      <c r="BK7" s="66">
        <f t="shared" si="23"/>
        <v>0.92307692307692313</v>
      </c>
      <c r="BL7" s="67">
        <f t="shared" si="24"/>
        <v>3</v>
      </c>
      <c r="BM7" s="66">
        <v>0.12</v>
      </c>
      <c r="BN7" s="28">
        <v>5438.6</v>
      </c>
      <c r="BO7" s="30">
        <v>14.3</v>
      </c>
      <c r="BP7" s="28">
        <f t="shared" si="25"/>
        <v>31693.473193473197</v>
      </c>
      <c r="BQ7" s="76">
        <f t="shared" si="26"/>
        <v>96.639406485849321</v>
      </c>
      <c r="BR7" s="70">
        <f>ABS(BQ7-BR4)</f>
        <v>3.3605935141506791</v>
      </c>
      <c r="BS7" s="67">
        <f t="shared" si="27"/>
        <v>12</v>
      </c>
      <c r="BT7" s="66">
        <v>0.15</v>
      </c>
      <c r="BU7" s="36">
        <v>4</v>
      </c>
      <c r="BV7" s="36">
        <v>4</v>
      </c>
      <c r="BW7" s="70">
        <f t="shared" si="28"/>
        <v>100</v>
      </c>
      <c r="BX7" s="38">
        <f t="shared" si="29"/>
        <v>9</v>
      </c>
      <c r="BY7" s="37">
        <v>0.11</v>
      </c>
      <c r="BZ7" s="36">
        <v>20</v>
      </c>
      <c r="CA7" s="36">
        <v>324</v>
      </c>
      <c r="CB7" s="37">
        <f t="shared" si="30"/>
        <v>6.1728395061728394</v>
      </c>
      <c r="CC7" s="38">
        <f t="shared" si="31"/>
        <v>2</v>
      </c>
      <c r="CD7" s="37">
        <v>0.03</v>
      </c>
      <c r="CE7" s="36">
        <v>4</v>
      </c>
      <c r="CF7" s="36">
        <v>4</v>
      </c>
      <c r="CG7" s="37">
        <f t="shared" si="32"/>
        <v>100</v>
      </c>
      <c r="CH7" s="38">
        <f t="shared" si="33"/>
        <v>1</v>
      </c>
      <c r="CI7" s="37">
        <v>7.0000000000000007E-2</v>
      </c>
      <c r="CJ7" s="36">
        <v>0</v>
      </c>
      <c r="CK7" s="37">
        <f t="shared" si="34"/>
        <v>0</v>
      </c>
      <c r="CL7" s="38">
        <f t="shared" si="35"/>
        <v>2</v>
      </c>
      <c r="CM7" s="70">
        <v>0.1</v>
      </c>
      <c r="CN7" s="70">
        <f t="shared" si="36"/>
        <v>0.70000000000000007</v>
      </c>
      <c r="CO7" s="75">
        <f t="shared" ref="CO7:CO22" si="78">(BH7*BI7+BL7*BM7+BS7*BT7+BX7*BY7+CC7*CD7+CH7*CI7+CL7*CM7)</f>
        <v>4.4399999999999995</v>
      </c>
      <c r="CP7" s="67">
        <f t="shared" ref="CP7:CP22" si="79">RANK(CO7,$CO$6:$CO$22,1)</f>
        <v>8</v>
      </c>
      <c r="CQ7" s="77"/>
      <c r="CR7" s="77"/>
      <c r="CS7" s="66">
        <v>95.4</v>
      </c>
      <c r="CT7" s="67">
        <f t="shared" si="37"/>
        <v>8</v>
      </c>
      <c r="CU7" s="66">
        <v>0.06</v>
      </c>
      <c r="CV7" s="66">
        <v>0</v>
      </c>
      <c r="CW7" s="67">
        <f t="shared" si="38"/>
        <v>1</v>
      </c>
      <c r="CX7" s="66">
        <v>0.02</v>
      </c>
      <c r="CY7" s="72"/>
      <c r="CZ7" s="72"/>
      <c r="DA7" s="78">
        <v>0</v>
      </c>
      <c r="DB7" s="38">
        <f t="shared" si="39"/>
        <v>1</v>
      </c>
      <c r="DC7" s="37">
        <v>0.02</v>
      </c>
      <c r="DD7" s="78">
        <v>2.7050000000000001</v>
      </c>
      <c r="DE7" s="38">
        <f t="shared" si="40"/>
        <v>17</v>
      </c>
      <c r="DF7" s="70">
        <v>0.2</v>
      </c>
      <c r="DG7" s="66">
        <v>81.634890004590304</v>
      </c>
      <c r="DH7" s="38">
        <f t="shared" si="41"/>
        <v>7</v>
      </c>
      <c r="DI7" s="70">
        <v>0.1</v>
      </c>
      <c r="DJ7" s="36">
        <v>2</v>
      </c>
      <c r="DK7" s="38">
        <f t="shared" si="42"/>
        <v>11</v>
      </c>
      <c r="DL7" s="70">
        <v>0.2</v>
      </c>
      <c r="DM7" s="70">
        <f t="shared" si="43"/>
        <v>0.60000000000000009</v>
      </c>
      <c r="DN7" s="75">
        <f t="shared" ref="DN7:DN22" si="80">(CT7*CU7+CW7*CX7+DB7*DC7+DE7*DF7+DH7*DI7+DK7*DL7)</f>
        <v>6.82</v>
      </c>
      <c r="DO7" s="67">
        <f t="shared" ref="DO7:DO22" si="81">RANK(DN7,$DN$6:$DN$22,1)</f>
        <v>15</v>
      </c>
      <c r="DP7" s="72">
        <v>3</v>
      </c>
      <c r="DQ7" s="37">
        <v>1</v>
      </c>
      <c r="DR7" s="38">
        <f t="shared" si="44"/>
        <v>1</v>
      </c>
      <c r="DS7" s="70">
        <v>0.1</v>
      </c>
      <c r="DT7" s="36">
        <v>1</v>
      </c>
      <c r="DU7" s="38">
        <f t="shared" si="45"/>
        <v>1</v>
      </c>
      <c r="DV7" s="37">
        <v>0.15</v>
      </c>
      <c r="DW7" s="36"/>
      <c r="DX7" s="36"/>
      <c r="DY7" s="36" t="e">
        <f t="shared" si="46"/>
        <v>#DIV/0!</v>
      </c>
      <c r="DZ7" s="38" t="e">
        <f t="shared" si="47"/>
        <v>#DIV/0!</v>
      </c>
      <c r="EA7" s="37">
        <v>0.05</v>
      </c>
      <c r="EB7" s="37">
        <f t="shared" si="48"/>
        <v>0.3</v>
      </c>
      <c r="EC7" s="75">
        <f t="shared" ref="EC7:EC22" si="82">(DR7*DS7+DU7*DV7)</f>
        <v>0.25</v>
      </c>
      <c r="ED7" s="67">
        <f t="shared" ref="ED7:ED22" si="83">RANK(EC7,$EC$6:$EC$22,1)</f>
        <v>1</v>
      </c>
      <c r="EE7" s="79">
        <v>70</v>
      </c>
      <c r="EF7" s="79">
        <v>70</v>
      </c>
      <c r="EG7" s="80">
        <f t="shared" si="49"/>
        <v>100</v>
      </c>
      <c r="EH7" s="81">
        <f t="shared" si="50"/>
        <v>1</v>
      </c>
      <c r="EI7" s="66">
        <v>0.2</v>
      </c>
      <c r="EJ7" s="70">
        <v>63.3</v>
      </c>
      <c r="EK7" s="38">
        <f t="shared" si="51"/>
        <v>5</v>
      </c>
      <c r="EL7" s="37">
        <v>0.2</v>
      </c>
      <c r="EM7" s="36">
        <v>26</v>
      </c>
      <c r="EN7" s="37">
        <f t="shared" si="52"/>
        <v>100</v>
      </c>
      <c r="EO7" s="38">
        <f t="shared" si="53"/>
        <v>1</v>
      </c>
      <c r="EP7" s="70">
        <v>0.1</v>
      </c>
      <c r="EQ7" s="36">
        <v>1</v>
      </c>
      <c r="ER7" s="38">
        <f t="shared" si="54"/>
        <v>1</v>
      </c>
      <c r="ES7" s="37">
        <v>0.05</v>
      </c>
      <c r="ET7" s="36">
        <v>1</v>
      </c>
      <c r="EU7" s="38">
        <f t="shared" si="55"/>
        <v>1</v>
      </c>
      <c r="EV7" s="37">
        <v>0.05</v>
      </c>
      <c r="EW7" s="36">
        <v>2</v>
      </c>
      <c r="EX7" s="38">
        <f t="shared" si="56"/>
        <v>8</v>
      </c>
      <c r="EY7" s="37">
        <v>0.1</v>
      </c>
      <c r="EZ7" s="36">
        <v>2</v>
      </c>
      <c r="FA7" s="36">
        <v>17</v>
      </c>
      <c r="FB7" s="37">
        <f t="shared" si="57"/>
        <v>11.76470588235294</v>
      </c>
      <c r="FC7" s="38">
        <f t="shared" si="58"/>
        <v>5</v>
      </c>
      <c r="FD7" s="37">
        <v>0.05</v>
      </c>
      <c r="FE7" s="37">
        <v>22.20860775003829</v>
      </c>
      <c r="FF7" s="37">
        <v>22.309910456821974</v>
      </c>
      <c r="FG7" s="37">
        <f t="shared" si="59"/>
        <v>100.45614163626944</v>
      </c>
      <c r="FH7" s="38">
        <f t="shared" si="60"/>
        <v>13</v>
      </c>
      <c r="FI7" s="37">
        <v>0.15</v>
      </c>
      <c r="FJ7" s="36">
        <v>5</v>
      </c>
      <c r="FK7" s="37">
        <f t="shared" si="61"/>
        <v>0.75884049172863854</v>
      </c>
      <c r="FL7" s="38">
        <f t="shared" si="62"/>
        <v>7</v>
      </c>
      <c r="FM7" s="37">
        <v>0.05</v>
      </c>
      <c r="FN7" s="36">
        <v>3</v>
      </c>
      <c r="FO7" s="37">
        <f t="shared" si="63"/>
        <v>0.45530429503718317</v>
      </c>
      <c r="FP7" s="38">
        <f t="shared" si="64"/>
        <v>6</v>
      </c>
      <c r="FQ7" s="37">
        <v>0.05</v>
      </c>
      <c r="FR7" s="39">
        <f t="shared" si="65"/>
        <v>1.0000000000000002</v>
      </c>
      <c r="FS7" s="75">
        <f t="shared" ref="FS7:FS22" si="84">(EH7*EI7+EK7*EL7+EO7*EP7+ER7*ES7+EU7*EV7+EX7*EY7+FC7*FD7+FH7*FI7+FL7*FM7+FP7*FQ7)</f>
        <v>5.05</v>
      </c>
      <c r="FT7" s="67">
        <f t="shared" ref="FT7:FT22" si="85">RANK(FS7,$FS$6:$FS$22,1)</f>
        <v>5</v>
      </c>
      <c r="FU7" s="30">
        <v>27</v>
      </c>
      <c r="FV7" s="30">
        <v>27</v>
      </c>
      <c r="FW7" s="82">
        <f t="shared" si="66"/>
        <v>100</v>
      </c>
      <c r="FX7" s="67">
        <f t="shared" si="67"/>
        <v>1</v>
      </c>
      <c r="FY7" s="83">
        <v>0.1</v>
      </c>
      <c r="FZ7" s="66">
        <f>77/BE7*1000</f>
        <v>11.793536529330678</v>
      </c>
      <c r="GA7" s="66">
        <f>60/BF7*1000</f>
        <v>9.106085900743663</v>
      </c>
      <c r="GB7" s="84">
        <f t="shared" si="68"/>
        <v>77.212512786955031</v>
      </c>
      <c r="GC7" s="38">
        <f t="shared" si="69"/>
        <v>7</v>
      </c>
      <c r="GD7" s="70">
        <v>0.1</v>
      </c>
      <c r="GE7" s="85">
        <v>32</v>
      </c>
      <c r="GF7" s="85">
        <v>32</v>
      </c>
      <c r="GG7" s="37">
        <f t="shared" si="70"/>
        <v>100</v>
      </c>
      <c r="GH7" s="38">
        <v>1</v>
      </c>
      <c r="GI7" s="70">
        <v>0.1</v>
      </c>
      <c r="GJ7" s="36">
        <v>6</v>
      </c>
      <c r="GK7" s="38">
        <f t="shared" si="71"/>
        <v>5</v>
      </c>
      <c r="GL7" s="70">
        <v>0.1</v>
      </c>
      <c r="GM7" s="36">
        <v>0</v>
      </c>
      <c r="GN7" s="37">
        <f t="shared" si="72"/>
        <v>0</v>
      </c>
      <c r="GO7" s="38">
        <f t="shared" si="73"/>
        <v>1</v>
      </c>
      <c r="GP7" s="70">
        <v>0.1</v>
      </c>
      <c r="GQ7" s="86">
        <f t="shared" si="74"/>
        <v>0.5</v>
      </c>
      <c r="GR7" s="75">
        <f t="shared" ref="GR7:GR22" si="86">(FX7*FY7+GC7*GD7+GH7*GI7+GK7*GL7+GO7*GP7)</f>
        <v>1.5</v>
      </c>
      <c r="GS7" s="67">
        <f t="shared" ref="GS7:GS22" si="87">RANK(GR7,$GR$6:$GR$22,1)</f>
        <v>4</v>
      </c>
      <c r="GT7" s="87">
        <f t="shared" ref="GT7:GT22" si="88">(BD7*BB7+CP7*CN7+DO7*DM7+ED7*EB7+FT7*FR7+GS7*GQ7)/6</f>
        <v>4.9833333333333334</v>
      </c>
      <c r="GU7" s="88">
        <f t="shared" si="75"/>
        <v>7</v>
      </c>
      <c r="GV7" s="15" t="s">
        <v>4</v>
      </c>
    </row>
    <row r="8" spans="1:204" s="5" customFormat="1" ht="13.5" customHeight="1" x14ac:dyDescent="0.3">
      <c r="A8" s="13">
        <v>3</v>
      </c>
      <c r="B8" s="15" t="s">
        <v>5</v>
      </c>
      <c r="C8" s="65">
        <v>48847.72</v>
      </c>
      <c r="D8" s="65">
        <v>54268.32</v>
      </c>
      <c r="E8" s="66">
        <f t="shared" si="0"/>
        <v>111.09693553762592</v>
      </c>
      <c r="F8" s="67">
        <f t="shared" si="1"/>
        <v>5</v>
      </c>
      <c r="G8" s="66">
        <v>0.13</v>
      </c>
      <c r="H8" s="68">
        <v>58538.94</v>
      </c>
      <c r="I8" s="69">
        <v>54268.32</v>
      </c>
      <c r="J8" s="37">
        <f t="shared" si="2"/>
        <v>92.704650955415318</v>
      </c>
      <c r="K8" s="37">
        <f>ABS(J8-K4)</f>
        <v>7.2953490445846825</v>
      </c>
      <c r="L8" s="38">
        <f t="shared" si="3"/>
        <v>16</v>
      </c>
      <c r="M8" s="70">
        <v>0.1</v>
      </c>
      <c r="N8" s="71">
        <v>10452.42</v>
      </c>
      <c r="O8" s="72">
        <f t="shared" si="4"/>
        <v>9620</v>
      </c>
      <c r="P8" s="73">
        <f t="shared" si="5"/>
        <v>1.0865301455301455</v>
      </c>
      <c r="Q8" s="38">
        <f t="shared" si="6"/>
        <v>6</v>
      </c>
      <c r="R8" s="70">
        <v>0.1</v>
      </c>
      <c r="S8" s="71">
        <v>75816.58</v>
      </c>
      <c r="T8" s="71">
        <v>68039.460000000006</v>
      </c>
      <c r="U8" s="37">
        <f t="shared" si="7"/>
        <v>89.74219095612068</v>
      </c>
      <c r="V8" s="38">
        <f t="shared" si="8"/>
        <v>17</v>
      </c>
      <c r="W8" s="70">
        <v>0.1</v>
      </c>
      <c r="X8" s="71">
        <v>56781.529630000005</v>
      </c>
      <c r="Y8" s="71">
        <v>9267.3090199999988</v>
      </c>
      <c r="Z8" s="37">
        <f t="shared" si="9"/>
        <v>16.320992196560518</v>
      </c>
      <c r="AA8" s="67">
        <f t="shared" si="10"/>
        <v>5</v>
      </c>
      <c r="AB8" s="70">
        <v>0.1</v>
      </c>
      <c r="AC8" s="28">
        <v>68039.460000000006</v>
      </c>
      <c r="AD8" s="28">
        <v>13557.6</v>
      </c>
      <c r="AE8" s="66">
        <f t="shared" si="11"/>
        <v>19.926084069450287</v>
      </c>
      <c r="AF8" s="67">
        <f t="shared" si="12"/>
        <v>9</v>
      </c>
      <c r="AG8" s="66">
        <v>0.13</v>
      </c>
      <c r="AH8" s="33">
        <v>1.506E-2</v>
      </c>
      <c r="AI8" s="28">
        <v>75816.58</v>
      </c>
      <c r="AJ8" s="27">
        <f t="shared" si="13"/>
        <v>1.9863729015473923E-5</v>
      </c>
      <c r="AK8" s="45">
        <f t="shared" si="14"/>
        <v>12</v>
      </c>
      <c r="AL8" s="30">
        <v>0.12</v>
      </c>
      <c r="AM8" s="27">
        <v>1.876255</v>
      </c>
      <c r="AN8" s="28">
        <v>54268.32</v>
      </c>
      <c r="AO8" s="29">
        <f t="shared" si="15"/>
        <v>3.4573670237073857E-3</v>
      </c>
      <c r="AP8" s="45">
        <f t="shared" si="16"/>
        <v>13</v>
      </c>
      <c r="AQ8" s="30">
        <v>0.12</v>
      </c>
      <c r="AR8" s="28">
        <v>0</v>
      </c>
      <c r="AS8" s="28">
        <v>0</v>
      </c>
      <c r="AT8" s="66">
        <v>0</v>
      </c>
      <c r="AU8" s="67">
        <f t="shared" si="17"/>
        <v>5</v>
      </c>
      <c r="AV8" s="30">
        <v>0.05</v>
      </c>
      <c r="AW8" s="28">
        <v>2407947.3199999998</v>
      </c>
      <c r="AX8" s="28">
        <v>0</v>
      </c>
      <c r="AY8" s="74">
        <f t="shared" si="18"/>
        <v>0</v>
      </c>
      <c r="AZ8" s="67">
        <f t="shared" si="19"/>
        <v>12</v>
      </c>
      <c r="BA8" s="30">
        <v>0.05</v>
      </c>
      <c r="BB8" s="66">
        <f t="shared" si="20"/>
        <v>1</v>
      </c>
      <c r="BC8" s="75">
        <f t="shared" si="76"/>
        <v>10.07</v>
      </c>
      <c r="BD8" s="67">
        <f t="shared" si="77"/>
        <v>13</v>
      </c>
      <c r="BE8" s="72">
        <v>9420</v>
      </c>
      <c r="BF8" s="72">
        <v>9620</v>
      </c>
      <c r="BG8" s="37">
        <f t="shared" si="21"/>
        <v>102.12314225053079</v>
      </c>
      <c r="BH8" s="38">
        <f t="shared" si="22"/>
        <v>5</v>
      </c>
      <c r="BI8" s="37">
        <v>0.12</v>
      </c>
      <c r="BJ8" s="30">
        <v>16</v>
      </c>
      <c r="BK8" s="66">
        <f t="shared" si="23"/>
        <v>0.61538461538461542</v>
      </c>
      <c r="BL8" s="67">
        <f t="shared" si="24"/>
        <v>12</v>
      </c>
      <c r="BM8" s="66">
        <v>0.12</v>
      </c>
      <c r="BN8" s="28">
        <v>7296.7</v>
      </c>
      <c r="BO8" s="89">
        <v>19.7</v>
      </c>
      <c r="BP8" s="28">
        <f t="shared" si="25"/>
        <v>30865.905245346868</v>
      </c>
      <c r="BQ8" s="76">
        <f t="shared" si="26"/>
        <v>94.115994966845761</v>
      </c>
      <c r="BR8" s="70">
        <f>ABS(BQ8-BR4)</f>
        <v>5.8840050331542386</v>
      </c>
      <c r="BS8" s="67">
        <f t="shared" si="27"/>
        <v>15</v>
      </c>
      <c r="BT8" s="66">
        <v>0.15</v>
      </c>
      <c r="BU8" s="36">
        <v>14</v>
      </c>
      <c r="BV8" s="36">
        <v>12</v>
      </c>
      <c r="BW8" s="70">
        <f t="shared" si="28"/>
        <v>116.66666666666667</v>
      </c>
      <c r="BX8" s="38">
        <f t="shared" si="29"/>
        <v>12</v>
      </c>
      <c r="BY8" s="37">
        <v>0.11</v>
      </c>
      <c r="BZ8" s="36">
        <v>6</v>
      </c>
      <c r="CA8" s="36">
        <v>449</v>
      </c>
      <c r="CB8" s="37">
        <f t="shared" si="30"/>
        <v>1.3363028953229399</v>
      </c>
      <c r="CC8" s="38">
        <f t="shared" si="31"/>
        <v>8</v>
      </c>
      <c r="CD8" s="37">
        <v>0.03</v>
      </c>
      <c r="CE8" s="36">
        <v>7</v>
      </c>
      <c r="CF8" s="36">
        <v>7</v>
      </c>
      <c r="CG8" s="37">
        <f t="shared" si="32"/>
        <v>100</v>
      </c>
      <c r="CH8" s="38">
        <f t="shared" si="33"/>
        <v>1</v>
      </c>
      <c r="CI8" s="37">
        <v>7.0000000000000007E-2</v>
      </c>
      <c r="CJ8" s="36">
        <v>0</v>
      </c>
      <c r="CK8" s="37">
        <f t="shared" si="34"/>
        <v>0</v>
      </c>
      <c r="CL8" s="38">
        <f t="shared" si="35"/>
        <v>2</v>
      </c>
      <c r="CM8" s="70">
        <v>0.1</v>
      </c>
      <c r="CN8" s="70">
        <f t="shared" si="36"/>
        <v>0.70000000000000007</v>
      </c>
      <c r="CO8" s="75">
        <f t="shared" si="78"/>
        <v>6.120000000000001</v>
      </c>
      <c r="CP8" s="67">
        <f t="shared" si="79"/>
        <v>14</v>
      </c>
      <c r="CQ8" s="77"/>
      <c r="CR8" s="77"/>
      <c r="CS8" s="66">
        <v>92.3</v>
      </c>
      <c r="CT8" s="67">
        <f t="shared" si="37"/>
        <v>11</v>
      </c>
      <c r="CU8" s="66">
        <v>0.06</v>
      </c>
      <c r="CV8" s="66">
        <v>0</v>
      </c>
      <c r="CW8" s="67">
        <f t="shared" si="38"/>
        <v>1</v>
      </c>
      <c r="CX8" s="66">
        <v>0.02</v>
      </c>
      <c r="CY8" s="72"/>
      <c r="CZ8" s="72"/>
      <c r="DA8" s="78">
        <v>0</v>
      </c>
      <c r="DB8" s="38">
        <f t="shared" si="39"/>
        <v>1</v>
      </c>
      <c r="DC8" s="37">
        <v>0.02</v>
      </c>
      <c r="DD8" s="78">
        <v>0.73399999999999999</v>
      </c>
      <c r="DE8" s="38">
        <f t="shared" si="40"/>
        <v>14</v>
      </c>
      <c r="DF8" s="70">
        <v>0.2</v>
      </c>
      <c r="DG8" s="66">
        <v>73.07568770328264</v>
      </c>
      <c r="DH8" s="38">
        <f t="shared" si="41"/>
        <v>14</v>
      </c>
      <c r="DI8" s="70">
        <v>0.1</v>
      </c>
      <c r="DJ8" s="36">
        <v>2</v>
      </c>
      <c r="DK8" s="38">
        <f t="shared" si="42"/>
        <v>11</v>
      </c>
      <c r="DL8" s="70">
        <v>0.2</v>
      </c>
      <c r="DM8" s="70">
        <f t="shared" si="43"/>
        <v>0.60000000000000009</v>
      </c>
      <c r="DN8" s="75">
        <f t="shared" si="80"/>
        <v>7.1000000000000005</v>
      </c>
      <c r="DO8" s="67">
        <f t="shared" si="81"/>
        <v>16</v>
      </c>
      <c r="DP8" s="72">
        <v>3</v>
      </c>
      <c r="DQ8" s="37">
        <v>1</v>
      </c>
      <c r="DR8" s="38">
        <f t="shared" si="44"/>
        <v>1</v>
      </c>
      <c r="DS8" s="70">
        <v>0.1</v>
      </c>
      <c r="DT8" s="36">
        <v>1</v>
      </c>
      <c r="DU8" s="38">
        <f t="shared" si="45"/>
        <v>1</v>
      </c>
      <c r="DV8" s="37">
        <v>0.15</v>
      </c>
      <c r="DW8" s="36"/>
      <c r="DX8" s="36"/>
      <c r="DY8" s="36" t="e">
        <f t="shared" si="46"/>
        <v>#DIV/0!</v>
      </c>
      <c r="DZ8" s="38" t="e">
        <f t="shared" si="47"/>
        <v>#DIV/0!</v>
      </c>
      <c r="EA8" s="37">
        <v>0.05</v>
      </c>
      <c r="EB8" s="37">
        <f t="shared" si="48"/>
        <v>0.3</v>
      </c>
      <c r="EC8" s="75">
        <f t="shared" si="82"/>
        <v>0.25</v>
      </c>
      <c r="ED8" s="67">
        <f t="shared" si="83"/>
        <v>1</v>
      </c>
      <c r="EE8" s="79">
        <v>76</v>
      </c>
      <c r="EF8" s="79">
        <v>77</v>
      </c>
      <c r="EG8" s="80">
        <f t="shared" si="49"/>
        <v>98.701298701298697</v>
      </c>
      <c r="EH8" s="81">
        <f t="shared" si="50"/>
        <v>8</v>
      </c>
      <c r="EI8" s="66">
        <v>0.2</v>
      </c>
      <c r="EJ8" s="70">
        <v>46.8</v>
      </c>
      <c r="EK8" s="38">
        <f t="shared" si="51"/>
        <v>13</v>
      </c>
      <c r="EL8" s="37">
        <v>0.2</v>
      </c>
      <c r="EM8" s="36">
        <v>26</v>
      </c>
      <c r="EN8" s="37">
        <f t="shared" si="52"/>
        <v>100</v>
      </c>
      <c r="EO8" s="38">
        <f t="shared" si="53"/>
        <v>1</v>
      </c>
      <c r="EP8" s="70">
        <v>0.1</v>
      </c>
      <c r="EQ8" s="36">
        <v>1</v>
      </c>
      <c r="ER8" s="38">
        <f t="shared" si="54"/>
        <v>1</v>
      </c>
      <c r="ES8" s="37">
        <v>0.05</v>
      </c>
      <c r="ET8" s="36">
        <v>1</v>
      </c>
      <c r="EU8" s="38">
        <f t="shared" si="55"/>
        <v>1</v>
      </c>
      <c r="EV8" s="37">
        <v>0.05</v>
      </c>
      <c r="EW8" s="36">
        <v>4</v>
      </c>
      <c r="EX8" s="38">
        <f t="shared" si="56"/>
        <v>5</v>
      </c>
      <c r="EY8" s="37">
        <v>0.1</v>
      </c>
      <c r="EZ8" s="36">
        <v>3</v>
      </c>
      <c r="FA8" s="36">
        <v>10</v>
      </c>
      <c r="FB8" s="37">
        <f t="shared" si="57"/>
        <v>30</v>
      </c>
      <c r="FC8" s="38">
        <f t="shared" si="58"/>
        <v>9</v>
      </c>
      <c r="FD8" s="37">
        <v>0.05</v>
      </c>
      <c r="FE8" s="37">
        <v>35.774946921443735</v>
      </c>
      <c r="FF8" s="37">
        <v>35.446985446985451</v>
      </c>
      <c r="FG8" s="37">
        <f t="shared" si="59"/>
        <v>99.083264958635894</v>
      </c>
      <c r="FH8" s="38">
        <f t="shared" si="60"/>
        <v>15</v>
      </c>
      <c r="FI8" s="37">
        <v>0.15</v>
      </c>
      <c r="FJ8" s="36">
        <v>4</v>
      </c>
      <c r="FK8" s="37">
        <f t="shared" si="61"/>
        <v>0.41580041580041582</v>
      </c>
      <c r="FL8" s="38">
        <f t="shared" si="62"/>
        <v>10</v>
      </c>
      <c r="FM8" s="37">
        <v>0.05</v>
      </c>
      <c r="FN8" s="36">
        <v>0</v>
      </c>
      <c r="FO8" s="37">
        <f t="shared" si="63"/>
        <v>0</v>
      </c>
      <c r="FP8" s="38">
        <f t="shared" si="64"/>
        <v>8</v>
      </c>
      <c r="FQ8" s="37">
        <v>0.05</v>
      </c>
      <c r="FR8" s="39">
        <f t="shared" si="65"/>
        <v>1.0000000000000002</v>
      </c>
      <c r="FS8" s="75">
        <f t="shared" si="84"/>
        <v>8.5</v>
      </c>
      <c r="FT8" s="67">
        <f t="shared" si="85"/>
        <v>12</v>
      </c>
      <c r="FU8" s="30">
        <v>62</v>
      </c>
      <c r="FV8" s="30">
        <v>62</v>
      </c>
      <c r="FW8" s="82">
        <f t="shared" si="66"/>
        <v>100</v>
      </c>
      <c r="FX8" s="67">
        <f t="shared" si="67"/>
        <v>1</v>
      </c>
      <c r="FY8" s="83">
        <v>0.1</v>
      </c>
      <c r="FZ8" s="66">
        <f>162/BE8*1000</f>
        <v>17.197452229299362</v>
      </c>
      <c r="GA8" s="66">
        <f>136/BF8*1000</f>
        <v>14.137214137214137</v>
      </c>
      <c r="GB8" s="84">
        <f t="shared" si="68"/>
        <v>82.205282205282217</v>
      </c>
      <c r="GC8" s="38">
        <f t="shared" si="69"/>
        <v>10</v>
      </c>
      <c r="GD8" s="70">
        <v>0.1</v>
      </c>
      <c r="GE8" s="85">
        <v>31</v>
      </c>
      <c r="GF8" s="85">
        <v>31</v>
      </c>
      <c r="GG8" s="37">
        <f t="shared" si="70"/>
        <v>100</v>
      </c>
      <c r="GH8" s="38">
        <v>1</v>
      </c>
      <c r="GI8" s="70">
        <v>0.1</v>
      </c>
      <c r="GJ8" s="36">
        <v>14</v>
      </c>
      <c r="GK8" s="38">
        <f t="shared" si="71"/>
        <v>11</v>
      </c>
      <c r="GL8" s="70">
        <v>0.1</v>
      </c>
      <c r="GM8" s="36">
        <v>3</v>
      </c>
      <c r="GN8" s="37">
        <f t="shared" si="72"/>
        <v>0.31185031185031187</v>
      </c>
      <c r="GO8" s="38">
        <f t="shared" si="73"/>
        <v>12</v>
      </c>
      <c r="GP8" s="70">
        <v>0.1</v>
      </c>
      <c r="GQ8" s="86">
        <f t="shared" si="74"/>
        <v>0.5</v>
      </c>
      <c r="GR8" s="75">
        <f t="shared" si="86"/>
        <v>3.5000000000000004</v>
      </c>
      <c r="GS8" s="67">
        <f t="shared" si="87"/>
        <v>11</v>
      </c>
      <c r="GT8" s="87">
        <f t="shared" si="88"/>
        <v>8.3666666666666671</v>
      </c>
      <c r="GU8" s="88">
        <f t="shared" si="75"/>
        <v>16</v>
      </c>
      <c r="GV8" s="15" t="s">
        <v>5</v>
      </c>
    </row>
    <row r="9" spans="1:204" s="5" customFormat="1" ht="15.6" x14ac:dyDescent="0.3">
      <c r="A9" s="13">
        <v>4</v>
      </c>
      <c r="B9" s="15" t="s">
        <v>6</v>
      </c>
      <c r="C9" s="65">
        <v>9403.65</v>
      </c>
      <c r="D9" s="65">
        <v>11058.47</v>
      </c>
      <c r="E9" s="66">
        <f t="shared" si="0"/>
        <v>117.59763496089283</v>
      </c>
      <c r="F9" s="67">
        <f t="shared" si="1"/>
        <v>3</v>
      </c>
      <c r="G9" s="66">
        <v>0.13</v>
      </c>
      <c r="H9" s="68">
        <v>10784.15</v>
      </c>
      <c r="I9" s="69">
        <v>11058.47</v>
      </c>
      <c r="J9" s="37">
        <f t="shared" si="2"/>
        <v>102.54373316394893</v>
      </c>
      <c r="K9" s="37">
        <f>ABS(J9-K4)</f>
        <v>2.5437331639489287</v>
      </c>
      <c r="L9" s="38">
        <f t="shared" si="3"/>
        <v>6</v>
      </c>
      <c r="M9" s="70">
        <v>0.1</v>
      </c>
      <c r="N9" s="71">
        <v>410.9</v>
      </c>
      <c r="O9" s="72">
        <f t="shared" si="4"/>
        <v>1583</v>
      </c>
      <c r="P9" s="73">
        <f t="shared" si="5"/>
        <v>0.25957043588123813</v>
      </c>
      <c r="Q9" s="38">
        <f t="shared" si="6"/>
        <v>17</v>
      </c>
      <c r="R9" s="70">
        <v>0.1</v>
      </c>
      <c r="S9" s="71">
        <v>12258.69</v>
      </c>
      <c r="T9" s="71">
        <v>11829.15</v>
      </c>
      <c r="U9" s="37">
        <f t="shared" si="7"/>
        <v>96.496036689075254</v>
      </c>
      <c r="V9" s="38">
        <f t="shared" si="8"/>
        <v>15</v>
      </c>
      <c r="W9" s="70">
        <v>0.1</v>
      </c>
      <c r="X9" s="71">
        <v>11331.247529999999</v>
      </c>
      <c r="Y9" s="71">
        <v>4538.4372300000005</v>
      </c>
      <c r="Z9" s="37">
        <f t="shared" si="9"/>
        <v>40.052405685995993</v>
      </c>
      <c r="AA9" s="67">
        <f t="shared" si="10"/>
        <v>17</v>
      </c>
      <c r="AB9" s="70">
        <v>0.1</v>
      </c>
      <c r="AC9" s="28">
        <v>11829.15</v>
      </c>
      <c r="AD9" s="28">
        <v>870.2</v>
      </c>
      <c r="AE9" s="66">
        <f t="shared" si="11"/>
        <v>7.3564034609418263</v>
      </c>
      <c r="AF9" s="67">
        <f t="shared" si="12"/>
        <v>17</v>
      </c>
      <c r="AG9" s="66">
        <v>0.13</v>
      </c>
      <c r="AH9" s="33">
        <v>3.687E-2</v>
      </c>
      <c r="AI9" s="28">
        <v>12258.69</v>
      </c>
      <c r="AJ9" s="27">
        <f t="shared" si="13"/>
        <v>3.007662319546379E-4</v>
      </c>
      <c r="AK9" s="45">
        <f t="shared" si="14"/>
        <v>13</v>
      </c>
      <c r="AL9" s="30">
        <v>0.12</v>
      </c>
      <c r="AM9" s="27">
        <v>6.177746</v>
      </c>
      <c r="AN9" s="28">
        <v>11058.47</v>
      </c>
      <c r="AO9" s="29">
        <f t="shared" si="15"/>
        <v>5.5864382685850762E-2</v>
      </c>
      <c r="AP9" s="45">
        <f t="shared" si="16"/>
        <v>17</v>
      </c>
      <c r="AQ9" s="30">
        <v>0.12</v>
      </c>
      <c r="AR9" s="28">
        <v>0</v>
      </c>
      <c r="AS9" s="28">
        <v>0</v>
      </c>
      <c r="AT9" s="66">
        <v>0</v>
      </c>
      <c r="AU9" s="67">
        <f t="shared" si="17"/>
        <v>5</v>
      </c>
      <c r="AV9" s="30">
        <v>0.05</v>
      </c>
      <c r="AW9" s="28">
        <v>96783.6</v>
      </c>
      <c r="AX9" s="28">
        <v>0</v>
      </c>
      <c r="AY9" s="74">
        <f t="shared" si="18"/>
        <v>0</v>
      </c>
      <c r="AZ9" s="67">
        <f t="shared" si="19"/>
        <v>12</v>
      </c>
      <c r="BA9" s="30">
        <v>0.05</v>
      </c>
      <c r="BB9" s="66">
        <f t="shared" si="20"/>
        <v>1</v>
      </c>
      <c r="BC9" s="75">
        <f t="shared" si="76"/>
        <v>12.550000000000002</v>
      </c>
      <c r="BD9" s="67">
        <f t="shared" si="77"/>
        <v>17</v>
      </c>
      <c r="BE9" s="72">
        <v>1548</v>
      </c>
      <c r="BF9" s="72">
        <v>1583</v>
      </c>
      <c r="BG9" s="37">
        <f t="shared" si="21"/>
        <v>102.2609819121447</v>
      </c>
      <c r="BH9" s="38">
        <f t="shared" si="22"/>
        <v>4</v>
      </c>
      <c r="BI9" s="37">
        <v>0.12</v>
      </c>
      <c r="BJ9" s="30">
        <v>3</v>
      </c>
      <c r="BK9" s="66">
        <f t="shared" si="23"/>
        <v>0.11538461538461539</v>
      </c>
      <c r="BL9" s="67">
        <f t="shared" si="24"/>
        <v>17</v>
      </c>
      <c r="BM9" s="66">
        <v>0.12</v>
      </c>
      <c r="BN9" s="28">
        <v>393.6</v>
      </c>
      <c r="BO9" s="82">
        <v>1</v>
      </c>
      <c r="BP9" s="28">
        <f t="shared" si="25"/>
        <v>32800.000000000007</v>
      </c>
      <c r="BQ9" s="76">
        <f t="shared" si="26"/>
        <v>100.01341643391189</v>
      </c>
      <c r="BR9" s="70">
        <f>ABS(BQ9-BR4)</f>
        <v>1.3416433911885406E-2</v>
      </c>
      <c r="BS9" s="67">
        <f t="shared" si="27"/>
        <v>1</v>
      </c>
      <c r="BT9" s="66">
        <v>0.15</v>
      </c>
      <c r="BU9" s="36">
        <v>8</v>
      </c>
      <c r="BV9" s="36">
        <v>10</v>
      </c>
      <c r="BW9" s="70">
        <f t="shared" si="28"/>
        <v>80</v>
      </c>
      <c r="BX9" s="38">
        <f t="shared" si="29"/>
        <v>6</v>
      </c>
      <c r="BY9" s="37">
        <v>0.11</v>
      </c>
      <c r="BZ9" s="36">
        <v>0</v>
      </c>
      <c r="CA9" s="36">
        <v>47</v>
      </c>
      <c r="CB9" s="37">
        <f t="shared" si="30"/>
        <v>0</v>
      </c>
      <c r="CC9" s="38">
        <f t="shared" si="31"/>
        <v>11</v>
      </c>
      <c r="CD9" s="37">
        <v>0.03</v>
      </c>
      <c r="CE9" s="36">
        <v>1</v>
      </c>
      <c r="CF9" s="36">
        <v>1</v>
      </c>
      <c r="CG9" s="37">
        <f t="shared" si="32"/>
        <v>100</v>
      </c>
      <c r="CH9" s="38">
        <f t="shared" si="33"/>
        <v>1</v>
      </c>
      <c r="CI9" s="37">
        <v>7.0000000000000007E-2</v>
      </c>
      <c r="CJ9" s="36">
        <v>0</v>
      </c>
      <c r="CK9" s="37">
        <f t="shared" si="34"/>
        <v>0</v>
      </c>
      <c r="CL9" s="38">
        <f t="shared" si="35"/>
        <v>2</v>
      </c>
      <c r="CM9" s="70">
        <v>0.1</v>
      </c>
      <c r="CN9" s="70">
        <f t="shared" si="36"/>
        <v>0.70000000000000007</v>
      </c>
      <c r="CO9" s="75">
        <f t="shared" si="78"/>
        <v>3.93</v>
      </c>
      <c r="CP9" s="67">
        <f t="shared" si="79"/>
        <v>3</v>
      </c>
      <c r="CQ9" s="77"/>
      <c r="CR9" s="77"/>
      <c r="CS9" s="66">
        <v>95.2</v>
      </c>
      <c r="CT9" s="67">
        <f t="shared" si="37"/>
        <v>9</v>
      </c>
      <c r="CU9" s="66">
        <v>0.06</v>
      </c>
      <c r="CV9" s="66">
        <v>0</v>
      </c>
      <c r="CW9" s="67">
        <f t="shared" si="38"/>
        <v>1</v>
      </c>
      <c r="CX9" s="66">
        <v>0.02</v>
      </c>
      <c r="CY9" s="72"/>
      <c r="CZ9" s="72"/>
      <c r="DA9" s="78">
        <v>1.2999999999999999E-2</v>
      </c>
      <c r="DB9" s="38">
        <f t="shared" si="39"/>
        <v>16</v>
      </c>
      <c r="DC9" s="37">
        <v>0.02</v>
      </c>
      <c r="DD9" s="78">
        <v>0</v>
      </c>
      <c r="DE9" s="38">
        <f t="shared" si="40"/>
        <v>1</v>
      </c>
      <c r="DF9" s="70">
        <v>0.2</v>
      </c>
      <c r="DG9" s="66">
        <v>56.729000909901195</v>
      </c>
      <c r="DH9" s="38">
        <f t="shared" si="41"/>
        <v>16</v>
      </c>
      <c r="DI9" s="70">
        <v>0.1</v>
      </c>
      <c r="DJ9" s="36">
        <v>0</v>
      </c>
      <c r="DK9" s="38">
        <f t="shared" si="42"/>
        <v>17</v>
      </c>
      <c r="DL9" s="70">
        <v>0.2</v>
      </c>
      <c r="DM9" s="70">
        <f t="shared" si="43"/>
        <v>0.60000000000000009</v>
      </c>
      <c r="DN9" s="75">
        <f t="shared" si="80"/>
        <v>6.08</v>
      </c>
      <c r="DO9" s="67">
        <f t="shared" si="81"/>
        <v>12</v>
      </c>
      <c r="DP9" s="72">
        <v>3</v>
      </c>
      <c r="DQ9" s="37">
        <v>1</v>
      </c>
      <c r="DR9" s="38">
        <f t="shared" si="44"/>
        <v>1</v>
      </c>
      <c r="DS9" s="70">
        <v>0.1</v>
      </c>
      <c r="DT9" s="36">
        <v>0</v>
      </c>
      <c r="DU9" s="38">
        <f t="shared" si="45"/>
        <v>11</v>
      </c>
      <c r="DV9" s="37">
        <v>0.15</v>
      </c>
      <c r="DW9" s="36"/>
      <c r="DX9" s="36"/>
      <c r="DY9" s="36" t="e">
        <f t="shared" si="46"/>
        <v>#DIV/0!</v>
      </c>
      <c r="DZ9" s="38" t="e">
        <f t="shared" si="47"/>
        <v>#DIV/0!</v>
      </c>
      <c r="EA9" s="37">
        <v>0.05</v>
      </c>
      <c r="EB9" s="37">
        <f t="shared" si="48"/>
        <v>0.3</v>
      </c>
      <c r="EC9" s="75">
        <f t="shared" si="82"/>
        <v>1.75</v>
      </c>
      <c r="ED9" s="67">
        <f>RANK(EC9,$EC$6:$EC$22,1)</f>
        <v>11</v>
      </c>
      <c r="EE9" s="79">
        <v>52</v>
      </c>
      <c r="EF9" s="79">
        <v>52</v>
      </c>
      <c r="EG9" s="80">
        <f t="shared" si="49"/>
        <v>100</v>
      </c>
      <c r="EH9" s="81">
        <f t="shared" si="50"/>
        <v>1</v>
      </c>
      <c r="EI9" s="66">
        <v>0.2</v>
      </c>
      <c r="EJ9" s="70">
        <v>25.6</v>
      </c>
      <c r="EK9" s="38">
        <f t="shared" si="51"/>
        <v>17</v>
      </c>
      <c r="EL9" s="37">
        <v>0.2</v>
      </c>
      <c r="EM9" s="36">
        <v>26</v>
      </c>
      <c r="EN9" s="37">
        <f t="shared" si="52"/>
        <v>100</v>
      </c>
      <c r="EO9" s="38">
        <f t="shared" si="53"/>
        <v>1</v>
      </c>
      <c r="EP9" s="70">
        <v>0.1</v>
      </c>
      <c r="EQ9" s="36">
        <v>1</v>
      </c>
      <c r="ER9" s="38">
        <f t="shared" si="54"/>
        <v>1</v>
      </c>
      <c r="ES9" s="37">
        <v>0.05</v>
      </c>
      <c r="ET9" s="36">
        <v>1</v>
      </c>
      <c r="EU9" s="38">
        <f t="shared" si="55"/>
        <v>1</v>
      </c>
      <c r="EV9" s="37">
        <v>0.05</v>
      </c>
      <c r="EW9" s="36">
        <v>1</v>
      </c>
      <c r="EX9" s="38">
        <f t="shared" si="56"/>
        <v>10</v>
      </c>
      <c r="EY9" s="37">
        <v>0.1</v>
      </c>
      <c r="EZ9" s="36">
        <v>6</v>
      </c>
      <c r="FA9" s="36">
        <v>13</v>
      </c>
      <c r="FB9" s="37">
        <f t="shared" si="57"/>
        <v>46.153846153846153</v>
      </c>
      <c r="FC9" s="38">
        <f t="shared" si="58"/>
        <v>12</v>
      </c>
      <c r="FD9" s="37">
        <v>0.05</v>
      </c>
      <c r="FE9" s="37">
        <v>36.175710594315241</v>
      </c>
      <c r="FF9" s="37">
        <v>34.744156664560961</v>
      </c>
      <c r="FG9" s="37">
        <f t="shared" si="59"/>
        <v>96.042775922750664</v>
      </c>
      <c r="FH9" s="38">
        <f t="shared" si="60"/>
        <v>17</v>
      </c>
      <c r="FI9" s="37">
        <v>0.15</v>
      </c>
      <c r="FJ9" s="36">
        <v>0</v>
      </c>
      <c r="FK9" s="37">
        <f t="shared" si="61"/>
        <v>0</v>
      </c>
      <c r="FL9" s="38">
        <f t="shared" si="62"/>
        <v>13</v>
      </c>
      <c r="FM9" s="37">
        <v>0.05</v>
      </c>
      <c r="FN9" s="36">
        <v>0</v>
      </c>
      <c r="FO9" s="37">
        <f t="shared" si="63"/>
        <v>0</v>
      </c>
      <c r="FP9" s="38">
        <f t="shared" si="64"/>
        <v>8</v>
      </c>
      <c r="FQ9" s="37">
        <v>0.05</v>
      </c>
      <c r="FR9" s="39">
        <f t="shared" si="65"/>
        <v>1.0000000000000002</v>
      </c>
      <c r="FS9" s="75">
        <f t="shared" si="84"/>
        <v>9</v>
      </c>
      <c r="FT9" s="67">
        <f t="shared" si="85"/>
        <v>14</v>
      </c>
      <c r="FU9" s="30">
        <v>5</v>
      </c>
      <c r="FV9" s="30">
        <v>5</v>
      </c>
      <c r="FW9" s="82">
        <f t="shared" si="66"/>
        <v>100</v>
      </c>
      <c r="FX9" s="67">
        <f t="shared" si="67"/>
        <v>1</v>
      </c>
      <c r="FY9" s="83">
        <v>0.1</v>
      </c>
      <c r="FZ9" s="66">
        <f>33/BE9*1000</f>
        <v>21.31782945736434</v>
      </c>
      <c r="GA9" s="66">
        <f>27/BF9*1000</f>
        <v>17.056222362602654</v>
      </c>
      <c r="GB9" s="84">
        <f t="shared" si="68"/>
        <v>80.009188537299721</v>
      </c>
      <c r="GC9" s="38">
        <f t="shared" si="69"/>
        <v>9</v>
      </c>
      <c r="GD9" s="70">
        <v>0.1</v>
      </c>
      <c r="GE9" s="85">
        <v>10</v>
      </c>
      <c r="GF9" s="85">
        <v>10</v>
      </c>
      <c r="GG9" s="37">
        <f t="shared" si="70"/>
        <v>100</v>
      </c>
      <c r="GH9" s="38">
        <v>1</v>
      </c>
      <c r="GI9" s="70">
        <v>0.1</v>
      </c>
      <c r="GJ9" s="36">
        <v>5</v>
      </c>
      <c r="GK9" s="38">
        <f t="shared" si="71"/>
        <v>4</v>
      </c>
      <c r="GL9" s="70">
        <v>0.1</v>
      </c>
      <c r="GM9" s="36">
        <v>0</v>
      </c>
      <c r="GN9" s="37">
        <f t="shared" si="72"/>
        <v>0</v>
      </c>
      <c r="GO9" s="38">
        <f t="shared" si="73"/>
        <v>1</v>
      </c>
      <c r="GP9" s="70">
        <v>0.1</v>
      </c>
      <c r="GQ9" s="86">
        <f t="shared" si="74"/>
        <v>0.5</v>
      </c>
      <c r="GR9" s="75">
        <f t="shared" si="86"/>
        <v>1.6</v>
      </c>
      <c r="GS9" s="67">
        <f t="shared" si="87"/>
        <v>5</v>
      </c>
      <c r="GT9" s="87">
        <f t="shared" si="88"/>
        <v>7.6833333333333345</v>
      </c>
      <c r="GU9" s="88">
        <f t="shared" si="75"/>
        <v>13</v>
      </c>
      <c r="GV9" s="15" t="s">
        <v>6</v>
      </c>
    </row>
    <row r="10" spans="1:204" s="5" customFormat="1" ht="15.6" x14ac:dyDescent="0.3">
      <c r="A10" s="13">
        <v>5</v>
      </c>
      <c r="B10" s="15" t="s">
        <v>7</v>
      </c>
      <c r="C10" s="65">
        <v>86822.53</v>
      </c>
      <c r="D10" s="65">
        <v>111667.45</v>
      </c>
      <c r="E10" s="66">
        <f t="shared" si="0"/>
        <v>128.61575215557528</v>
      </c>
      <c r="F10" s="67">
        <f t="shared" si="1"/>
        <v>2</v>
      </c>
      <c r="G10" s="66">
        <v>0.13</v>
      </c>
      <c r="H10" s="68">
        <v>108490.15</v>
      </c>
      <c r="I10" s="69">
        <v>111667.45</v>
      </c>
      <c r="J10" s="37">
        <f t="shared" si="2"/>
        <v>102.92865296987792</v>
      </c>
      <c r="K10" s="37">
        <f>ABS(J10-K4)</f>
        <v>2.9286529698779162</v>
      </c>
      <c r="L10" s="38">
        <f t="shared" si="3"/>
        <v>10</v>
      </c>
      <c r="M10" s="70">
        <v>0.1</v>
      </c>
      <c r="N10" s="71">
        <v>26025.1</v>
      </c>
      <c r="O10" s="72">
        <f t="shared" si="4"/>
        <v>13220</v>
      </c>
      <c r="P10" s="73">
        <f t="shared" si="5"/>
        <v>1.9686157337367625</v>
      </c>
      <c r="Q10" s="38">
        <f t="shared" si="6"/>
        <v>3</v>
      </c>
      <c r="R10" s="70">
        <v>0.1</v>
      </c>
      <c r="S10" s="71">
        <v>157828.57</v>
      </c>
      <c r="T10" s="71">
        <v>155444.32</v>
      </c>
      <c r="U10" s="37">
        <f t="shared" si="7"/>
        <v>98.489341948672532</v>
      </c>
      <c r="V10" s="38">
        <f t="shared" si="8"/>
        <v>9</v>
      </c>
      <c r="W10" s="70">
        <v>0.1</v>
      </c>
      <c r="X10" s="71">
        <v>121071.05290000001</v>
      </c>
      <c r="Y10" s="71">
        <v>14018.876130000001</v>
      </c>
      <c r="Z10" s="37">
        <f t="shared" si="9"/>
        <v>11.579048661267569</v>
      </c>
      <c r="AA10" s="67">
        <f t="shared" si="10"/>
        <v>2</v>
      </c>
      <c r="AB10" s="70">
        <v>0.1</v>
      </c>
      <c r="AC10" s="28">
        <v>155444.32</v>
      </c>
      <c r="AD10" s="28">
        <v>56898.700000000004</v>
      </c>
      <c r="AE10" s="66">
        <f t="shared" si="11"/>
        <v>36.603910647877001</v>
      </c>
      <c r="AF10" s="67">
        <f t="shared" si="12"/>
        <v>2</v>
      </c>
      <c r="AG10" s="66">
        <v>0.13</v>
      </c>
      <c r="AH10" s="33">
        <v>2.4499999999999999E-3</v>
      </c>
      <c r="AI10" s="28">
        <v>157828.57</v>
      </c>
      <c r="AJ10" s="27">
        <f t="shared" si="13"/>
        <v>1.5523171755278528E-6</v>
      </c>
      <c r="AK10" s="45">
        <f t="shared" si="14"/>
        <v>10</v>
      </c>
      <c r="AL10" s="30">
        <v>0.12</v>
      </c>
      <c r="AM10" s="27">
        <v>13.268853999999999</v>
      </c>
      <c r="AN10" s="28">
        <v>111667.45</v>
      </c>
      <c r="AO10" s="29">
        <f t="shared" si="15"/>
        <v>1.1882472466237923E-2</v>
      </c>
      <c r="AP10" s="45">
        <f t="shared" si="16"/>
        <v>16</v>
      </c>
      <c r="AQ10" s="30">
        <v>0.12</v>
      </c>
      <c r="AR10" s="28">
        <v>0</v>
      </c>
      <c r="AS10" s="28">
        <v>0</v>
      </c>
      <c r="AT10" s="66">
        <v>0</v>
      </c>
      <c r="AU10" s="67">
        <f t="shared" si="17"/>
        <v>5</v>
      </c>
      <c r="AV10" s="30">
        <v>0.05</v>
      </c>
      <c r="AW10" s="28">
        <v>1681329.59</v>
      </c>
      <c r="AX10" s="28">
        <v>1</v>
      </c>
      <c r="AY10" s="74">
        <f t="shared" si="18"/>
        <v>5.9476738287821365E-5</v>
      </c>
      <c r="AZ10" s="67">
        <f t="shared" si="19"/>
        <v>11</v>
      </c>
      <c r="BA10" s="30">
        <v>0.05</v>
      </c>
      <c r="BB10" s="66">
        <f t="shared" si="20"/>
        <v>1</v>
      </c>
      <c r="BC10" s="75">
        <f t="shared" si="76"/>
        <v>6.84</v>
      </c>
      <c r="BD10" s="67">
        <f t="shared" si="77"/>
        <v>4</v>
      </c>
      <c r="BE10" s="72">
        <v>12639</v>
      </c>
      <c r="BF10" s="72">
        <v>13220</v>
      </c>
      <c r="BG10" s="37">
        <f t="shared" si="21"/>
        <v>104.59688266476779</v>
      </c>
      <c r="BH10" s="38">
        <f t="shared" si="22"/>
        <v>3</v>
      </c>
      <c r="BI10" s="37">
        <v>0.12</v>
      </c>
      <c r="BJ10" s="30">
        <v>18</v>
      </c>
      <c r="BK10" s="66">
        <f t="shared" si="23"/>
        <v>0.69230769230769229</v>
      </c>
      <c r="BL10" s="67">
        <f t="shared" si="24"/>
        <v>11</v>
      </c>
      <c r="BM10" s="66">
        <v>0.12</v>
      </c>
      <c r="BN10" s="28">
        <v>5948.6</v>
      </c>
      <c r="BO10" s="30">
        <v>15.2</v>
      </c>
      <c r="BP10" s="28">
        <f t="shared" si="25"/>
        <v>32612.938596491233</v>
      </c>
      <c r="BQ10" s="76">
        <f t="shared" si="26"/>
        <v>99.443030761721801</v>
      </c>
      <c r="BR10" s="70">
        <f>ABS(BQ10-BR4)</f>
        <v>0.55696923827819944</v>
      </c>
      <c r="BS10" s="67">
        <f t="shared" si="27"/>
        <v>6</v>
      </c>
      <c r="BT10" s="66">
        <v>0.15</v>
      </c>
      <c r="BU10" s="36">
        <v>9</v>
      </c>
      <c r="BV10" s="36">
        <v>7</v>
      </c>
      <c r="BW10" s="70">
        <f t="shared" si="28"/>
        <v>128.57142857142858</v>
      </c>
      <c r="BX10" s="38">
        <f t="shared" si="29"/>
        <v>14</v>
      </c>
      <c r="BY10" s="37">
        <v>0.11</v>
      </c>
      <c r="BZ10" s="36">
        <v>1</v>
      </c>
      <c r="CA10" s="36">
        <v>385</v>
      </c>
      <c r="CB10" s="37">
        <f t="shared" si="30"/>
        <v>0.25974025974025972</v>
      </c>
      <c r="CC10" s="38">
        <f t="shared" si="31"/>
        <v>10</v>
      </c>
      <c r="CD10" s="37">
        <v>0.03</v>
      </c>
      <c r="CE10" s="36">
        <v>3</v>
      </c>
      <c r="CF10" s="36">
        <v>4</v>
      </c>
      <c r="CG10" s="37">
        <f t="shared" si="32"/>
        <v>75</v>
      </c>
      <c r="CH10" s="38">
        <f t="shared" si="33"/>
        <v>15</v>
      </c>
      <c r="CI10" s="37">
        <v>7.0000000000000007E-2</v>
      </c>
      <c r="CJ10" s="36">
        <v>0</v>
      </c>
      <c r="CK10" s="37">
        <f t="shared" si="34"/>
        <v>0</v>
      </c>
      <c r="CL10" s="38">
        <f t="shared" si="35"/>
        <v>2</v>
      </c>
      <c r="CM10" s="70">
        <v>0.1</v>
      </c>
      <c r="CN10" s="70">
        <f t="shared" si="36"/>
        <v>0.70000000000000007</v>
      </c>
      <c r="CO10" s="75">
        <f t="shared" si="78"/>
        <v>5.669999999999999</v>
      </c>
      <c r="CP10" s="67">
        <f t="shared" si="79"/>
        <v>12</v>
      </c>
      <c r="CQ10" s="77"/>
      <c r="CR10" s="77"/>
      <c r="CS10" s="66">
        <v>107.4</v>
      </c>
      <c r="CT10" s="67">
        <f t="shared" si="37"/>
        <v>2</v>
      </c>
      <c r="CU10" s="66">
        <v>0.06</v>
      </c>
      <c r="CV10" s="66">
        <v>0</v>
      </c>
      <c r="CW10" s="67">
        <f t="shared" si="38"/>
        <v>1</v>
      </c>
      <c r="CX10" s="66">
        <v>0.02</v>
      </c>
      <c r="CY10" s="72"/>
      <c r="CZ10" s="72"/>
      <c r="DA10" s="78">
        <v>1.3999999999999999E-4</v>
      </c>
      <c r="DB10" s="38">
        <f t="shared" si="39"/>
        <v>11</v>
      </c>
      <c r="DC10" s="37">
        <v>0.02</v>
      </c>
      <c r="DD10" s="78">
        <v>0</v>
      </c>
      <c r="DE10" s="38">
        <f t="shared" si="40"/>
        <v>1</v>
      </c>
      <c r="DF10" s="70">
        <v>0.2</v>
      </c>
      <c r="DG10" s="66">
        <v>81.040968155024586</v>
      </c>
      <c r="DH10" s="38">
        <f t="shared" si="41"/>
        <v>8</v>
      </c>
      <c r="DI10" s="70">
        <v>0.1</v>
      </c>
      <c r="DJ10" s="36">
        <v>6</v>
      </c>
      <c r="DK10" s="38">
        <f t="shared" si="42"/>
        <v>1</v>
      </c>
      <c r="DL10" s="70">
        <v>0.2</v>
      </c>
      <c r="DM10" s="70">
        <f t="shared" si="43"/>
        <v>0.60000000000000009</v>
      </c>
      <c r="DN10" s="75">
        <f t="shared" si="80"/>
        <v>1.56</v>
      </c>
      <c r="DO10" s="67">
        <f t="shared" si="81"/>
        <v>1</v>
      </c>
      <c r="DP10" s="72">
        <v>2</v>
      </c>
      <c r="DQ10" s="37">
        <v>0.6</v>
      </c>
      <c r="DR10" s="38">
        <f t="shared" si="44"/>
        <v>13</v>
      </c>
      <c r="DS10" s="70">
        <v>0.1</v>
      </c>
      <c r="DT10" s="36">
        <v>0</v>
      </c>
      <c r="DU10" s="38">
        <f t="shared" si="45"/>
        <v>11</v>
      </c>
      <c r="DV10" s="37">
        <v>0.15</v>
      </c>
      <c r="DW10" s="36"/>
      <c r="DX10" s="36"/>
      <c r="DY10" s="36" t="e">
        <f t="shared" si="46"/>
        <v>#DIV/0!</v>
      </c>
      <c r="DZ10" s="38" t="e">
        <f t="shared" si="47"/>
        <v>#DIV/0!</v>
      </c>
      <c r="EA10" s="37">
        <v>0.05</v>
      </c>
      <c r="EB10" s="37">
        <f t="shared" si="48"/>
        <v>0.3</v>
      </c>
      <c r="EC10" s="75">
        <f t="shared" si="82"/>
        <v>2.95</v>
      </c>
      <c r="ED10" s="67">
        <f>RANK(EC10,$EC$6:$EC$22,1)</f>
        <v>16</v>
      </c>
      <c r="EE10" s="79">
        <v>69</v>
      </c>
      <c r="EF10" s="79">
        <v>73</v>
      </c>
      <c r="EG10" s="80">
        <f t="shared" si="49"/>
        <v>94.520547945205479</v>
      </c>
      <c r="EH10" s="81">
        <f t="shared" si="50"/>
        <v>14</v>
      </c>
      <c r="EI10" s="66">
        <v>0.2</v>
      </c>
      <c r="EJ10" s="70">
        <v>48.1</v>
      </c>
      <c r="EK10" s="38">
        <f t="shared" si="51"/>
        <v>8</v>
      </c>
      <c r="EL10" s="37">
        <v>0.2</v>
      </c>
      <c r="EM10" s="36">
        <v>26</v>
      </c>
      <c r="EN10" s="37">
        <f t="shared" si="52"/>
        <v>100</v>
      </c>
      <c r="EO10" s="38">
        <f t="shared" si="53"/>
        <v>1</v>
      </c>
      <c r="EP10" s="70">
        <v>0.1</v>
      </c>
      <c r="EQ10" s="36">
        <v>1</v>
      </c>
      <c r="ER10" s="38">
        <f t="shared" si="54"/>
        <v>1</v>
      </c>
      <c r="ES10" s="37">
        <v>0.05</v>
      </c>
      <c r="ET10" s="36">
        <v>1</v>
      </c>
      <c r="EU10" s="38">
        <f t="shared" si="55"/>
        <v>1</v>
      </c>
      <c r="EV10" s="37">
        <v>0.05</v>
      </c>
      <c r="EW10" s="36">
        <v>1</v>
      </c>
      <c r="EX10" s="38">
        <f t="shared" si="56"/>
        <v>10</v>
      </c>
      <c r="EY10" s="37">
        <v>0.1</v>
      </c>
      <c r="EZ10" s="36">
        <v>0</v>
      </c>
      <c r="FA10" s="36">
        <v>17</v>
      </c>
      <c r="FB10" s="37">
        <f t="shared" si="57"/>
        <v>0</v>
      </c>
      <c r="FC10" s="38">
        <f t="shared" si="58"/>
        <v>1</v>
      </c>
      <c r="FD10" s="37">
        <v>0.05</v>
      </c>
      <c r="FE10" s="37">
        <v>47.392989951736688</v>
      </c>
      <c r="FF10" s="37">
        <v>50.453857791225417</v>
      </c>
      <c r="FG10" s="37">
        <f t="shared" si="59"/>
        <v>106.45848224095127</v>
      </c>
      <c r="FH10" s="38">
        <f t="shared" si="60"/>
        <v>7</v>
      </c>
      <c r="FI10" s="37">
        <v>0.15</v>
      </c>
      <c r="FJ10" s="36">
        <v>20</v>
      </c>
      <c r="FK10" s="37">
        <f t="shared" si="61"/>
        <v>1.5128593040847202</v>
      </c>
      <c r="FL10" s="38">
        <f t="shared" si="62"/>
        <v>5</v>
      </c>
      <c r="FM10" s="37">
        <v>0.05</v>
      </c>
      <c r="FN10" s="36">
        <v>12</v>
      </c>
      <c r="FO10" s="37">
        <f t="shared" si="63"/>
        <v>0.90771558245083206</v>
      </c>
      <c r="FP10" s="38">
        <f t="shared" si="64"/>
        <v>5</v>
      </c>
      <c r="FQ10" s="37">
        <v>0.05</v>
      </c>
      <c r="FR10" s="39">
        <f t="shared" si="65"/>
        <v>1.0000000000000002</v>
      </c>
      <c r="FS10" s="75">
        <f t="shared" si="84"/>
        <v>7.1999999999999993</v>
      </c>
      <c r="FT10" s="67">
        <f t="shared" si="85"/>
        <v>9</v>
      </c>
      <c r="FU10" s="30">
        <v>74</v>
      </c>
      <c r="FV10" s="30">
        <v>74</v>
      </c>
      <c r="FW10" s="82">
        <f t="shared" si="66"/>
        <v>100</v>
      </c>
      <c r="FX10" s="67">
        <f t="shared" si="67"/>
        <v>1</v>
      </c>
      <c r="FY10" s="83">
        <v>0.1</v>
      </c>
      <c r="FZ10" s="66">
        <f>145/BE10*1000</f>
        <v>11.472426616029749</v>
      </c>
      <c r="GA10" s="66">
        <f>142/BF10*1000</f>
        <v>10.741301059001513</v>
      </c>
      <c r="GB10" s="84">
        <f t="shared" si="68"/>
        <v>93.627106265324215</v>
      </c>
      <c r="GC10" s="38">
        <f t="shared" si="69"/>
        <v>13</v>
      </c>
      <c r="GD10" s="70">
        <v>0.1</v>
      </c>
      <c r="GE10" s="85">
        <v>48</v>
      </c>
      <c r="GF10" s="36">
        <v>48</v>
      </c>
      <c r="GG10" s="37">
        <f t="shared" si="70"/>
        <v>100</v>
      </c>
      <c r="GH10" s="38">
        <v>1</v>
      </c>
      <c r="GI10" s="70">
        <v>0.1</v>
      </c>
      <c r="GJ10" s="36">
        <v>7</v>
      </c>
      <c r="GK10" s="38">
        <f t="shared" si="71"/>
        <v>7</v>
      </c>
      <c r="GL10" s="70">
        <v>0.1</v>
      </c>
      <c r="GM10" s="36">
        <v>0</v>
      </c>
      <c r="GN10" s="37">
        <f t="shared" si="72"/>
        <v>0</v>
      </c>
      <c r="GO10" s="38">
        <f t="shared" si="73"/>
        <v>1</v>
      </c>
      <c r="GP10" s="70">
        <v>0.1</v>
      </c>
      <c r="GQ10" s="86">
        <f t="shared" si="74"/>
        <v>0.5</v>
      </c>
      <c r="GR10" s="75">
        <f t="shared" si="86"/>
        <v>2.3000000000000003</v>
      </c>
      <c r="GS10" s="67">
        <f t="shared" si="87"/>
        <v>8</v>
      </c>
      <c r="GT10" s="87">
        <f t="shared" si="88"/>
        <v>5.1333333333333337</v>
      </c>
      <c r="GU10" s="88">
        <f t="shared" si="75"/>
        <v>8</v>
      </c>
      <c r="GV10" s="15" t="s">
        <v>7</v>
      </c>
    </row>
    <row r="11" spans="1:204" s="5" customFormat="1" ht="15.6" x14ac:dyDescent="0.3">
      <c r="A11" s="13">
        <v>6</v>
      </c>
      <c r="B11" s="15" t="s">
        <v>8</v>
      </c>
      <c r="C11" s="65">
        <v>24686.799999999999</v>
      </c>
      <c r="D11" s="65">
        <v>25883.84</v>
      </c>
      <c r="E11" s="66">
        <f t="shared" si="0"/>
        <v>104.84890710825219</v>
      </c>
      <c r="F11" s="67">
        <f t="shared" si="1"/>
        <v>10</v>
      </c>
      <c r="G11" s="66">
        <v>0.13</v>
      </c>
      <c r="H11" s="68">
        <v>25168.86</v>
      </c>
      <c r="I11" s="69">
        <v>25883.84</v>
      </c>
      <c r="J11" s="37">
        <f t="shared" si="2"/>
        <v>102.8407325560236</v>
      </c>
      <c r="K11" s="37">
        <f>ABS(J11-K4)</f>
        <v>2.8407325560235961</v>
      </c>
      <c r="L11" s="38">
        <f t="shared" si="3"/>
        <v>9</v>
      </c>
      <c r="M11" s="70">
        <v>0.1</v>
      </c>
      <c r="N11" s="71">
        <v>8914.61</v>
      </c>
      <c r="O11" s="72">
        <f t="shared" si="4"/>
        <v>8675</v>
      </c>
      <c r="P11" s="73">
        <f t="shared" si="5"/>
        <v>1.0276207492795391</v>
      </c>
      <c r="Q11" s="38">
        <f t="shared" si="6"/>
        <v>10</v>
      </c>
      <c r="R11" s="70">
        <v>0.1</v>
      </c>
      <c r="S11" s="71">
        <v>51564.26</v>
      </c>
      <c r="T11" s="71">
        <v>49095.46</v>
      </c>
      <c r="U11" s="37">
        <f t="shared" si="7"/>
        <v>95.212187666418558</v>
      </c>
      <c r="V11" s="38">
        <f t="shared" si="8"/>
        <v>16</v>
      </c>
      <c r="W11" s="70">
        <v>0.1</v>
      </c>
      <c r="X11" s="71">
        <v>39337.841979999997</v>
      </c>
      <c r="Y11" s="71">
        <v>7770.3880999999992</v>
      </c>
      <c r="Z11" s="37">
        <f t="shared" si="9"/>
        <v>19.752959768231801</v>
      </c>
      <c r="AA11" s="67">
        <f t="shared" si="10"/>
        <v>10</v>
      </c>
      <c r="AB11" s="70">
        <v>0.1</v>
      </c>
      <c r="AC11" s="28">
        <v>49095.46</v>
      </c>
      <c r="AD11" s="28">
        <v>9708.1</v>
      </c>
      <c r="AE11" s="66">
        <f t="shared" si="11"/>
        <v>19.773926143069033</v>
      </c>
      <c r="AF11" s="67">
        <f t="shared" si="12"/>
        <v>10</v>
      </c>
      <c r="AG11" s="66">
        <v>0.13</v>
      </c>
      <c r="AH11" s="33">
        <v>4.4600000000000004E-3</v>
      </c>
      <c r="AI11" s="28">
        <v>51564.26</v>
      </c>
      <c r="AJ11" s="27">
        <f t="shared" si="13"/>
        <v>8.6494017367843534E-6</v>
      </c>
      <c r="AK11" s="45">
        <f t="shared" si="14"/>
        <v>11</v>
      </c>
      <c r="AL11" s="30">
        <v>0.12</v>
      </c>
      <c r="AM11" s="27">
        <v>0</v>
      </c>
      <c r="AN11" s="28">
        <v>25883.84</v>
      </c>
      <c r="AO11" s="29">
        <f t="shared" si="15"/>
        <v>0</v>
      </c>
      <c r="AP11" s="45">
        <f t="shared" si="16"/>
        <v>1</v>
      </c>
      <c r="AQ11" s="30">
        <v>0.12</v>
      </c>
      <c r="AR11" s="28">
        <v>31217</v>
      </c>
      <c r="AS11" s="28">
        <v>45</v>
      </c>
      <c r="AT11" s="66">
        <f>AS11/AR11*100</f>
        <v>0.14415222474933531</v>
      </c>
      <c r="AU11" s="67">
        <f t="shared" si="17"/>
        <v>3</v>
      </c>
      <c r="AV11" s="30">
        <v>0.05</v>
      </c>
      <c r="AW11" s="28">
        <v>2517657.4300000002</v>
      </c>
      <c r="AX11" s="28">
        <v>0</v>
      </c>
      <c r="AY11" s="74">
        <f t="shared" si="18"/>
        <v>0</v>
      </c>
      <c r="AZ11" s="67">
        <f t="shared" si="19"/>
        <v>12</v>
      </c>
      <c r="BA11" s="30">
        <v>0.05</v>
      </c>
      <c r="BB11" s="66">
        <f t="shared" si="20"/>
        <v>1</v>
      </c>
      <c r="BC11" s="75">
        <f t="shared" si="76"/>
        <v>9.2899999999999991</v>
      </c>
      <c r="BD11" s="67">
        <f t="shared" si="77"/>
        <v>12</v>
      </c>
      <c r="BE11" s="72">
        <v>8738</v>
      </c>
      <c r="BF11" s="72">
        <v>8675</v>
      </c>
      <c r="BG11" s="37">
        <f t="shared" si="21"/>
        <v>99.279011215381104</v>
      </c>
      <c r="BH11" s="38">
        <f t="shared" si="22"/>
        <v>15</v>
      </c>
      <c r="BI11" s="37">
        <v>0.12</v>
      </c>
      <c r="BJ11" s="30">
        <v>24</v>
      </c>
      <c r="BK11" s="66">
        <f t="shared" si="23"/>
        <v>0.92307692307692313</v>
      </c>
      <c r="BL11" s="67">
        <f t="shared" si="24"/>
        <v>3</v>
      </c>
      <c r="BM11" s="66">
        <v>0.12</v>
      </c>
      <c r="BN11" s="28">
        <v>3641.1</v>
      </c>
      <c r="BO11" s="30">
        <v>9.4</v>
      </c>
      <c r="BP11" s="28">
        <f t="shared" si="25"/>
        <v>32279.255319148939</v>
      </c>
      <c r="BQ11" s="76">
        <f t="shared" si="26"/>
        <v>98.425567207640469</v>
      </c>
      <c r="BR11" s="70">
        <f>ABS(BQ11-BR4)</f>
        <v>1.5744327923595307</v>
      </c>
      <c r="BS11" s="67">
        <f t="shared" si="27"/>
        <v>10</v>
      </c>
      <c r="BT11" s="66">
        <v>0.15</v>
      </c>
      <c r="BU11" s="36">
        <v>10</v>
      </c>
      <c r="BV11" s="36">
        <v>16</v>
      </c>
      <c r="BW11" s="70">
        <f t="shared" si="28"/>
        <v>62.5</v>
      </c>
      <c r="BX11" s="38">
        <f t="shared" si="29"/>
        <v>5</v>
      </c>
      <c r="BY11" s="37">
        <v>0.11</v>
      </c>
      <c r="BZ11" s="36">
        <v>7</v>
      </c>
      <c r="CA11" s="36">
        <v>404</v>
      </c>
      <c r="CB11" s="37">
        <f t="shared" si="30"/>
        <v>1.7326732673267329</v>
      </c>
      <c r="CC11" s="38">
        <f t="shared" si="31"/>
        <v>7</v>
      </c>
      <c r="CD11" s="37">
        <v>0.03</v>
      </c>
      <c r="CE11" s="36">
        <v>3</v>
      </c>
      <c r="CF11" s="36">
        <v>3</v>
      </c>
      <c r="CG11" s="37">
        <f t="shared" si="32"/>
        <v>100</v>
      </c>
      <c r="CH11" s="38">
        <f t="shared" si="33"/>
        <v>1</v>
      </c>
      <c r="CI11" s="37">
        <v>7.0000000000000007E-2</v>
      </c>
      <c r="CJ11" s="36">
        <v>0</v>
      </c>
      <c r="CK11" s="37">
        <f t="shared" si="34"/>
        <v>0</v>
      </c>
      <c r="CL11" s="38">
        <f t="shared" si="35"/>
        <v>2</v>
      </c>
      <c r="CM11" s="70">
        <v>0.1</v>
      </c>
      <c r="CN11" s="70">
        <f t="shared" si="36"/>
        <v>0.70000000000000007</v>
      </c>
      <c r="CO11" s="75">
        <f t="shared" si="78"/>
        <v>4.6900000000000004</v>
      </c>
      <c r="CP11" s="67">
        <f t="shared" si="79"/>
        <v>9</v>
      </c>
      <c r="CQ11" s="77"/>
      <c r="CR11" s="77"/>
      <c r="CS11" s="66">
        <v>90.8</v>
      </c>
      <c r="CT11" s="67">
        <f t="shared" si="37"/>
        <v>15</v>
      </c>
      <c r="CU11" s="66">
        <v>0.06</v>
      </c>
      <c r="CV11" s="66">
        <v>0</v>
      </c>
      <c r="CW11" s="67">
        <f t="shared" si="38"/>
        <v>1</v>
      </c>
      <c r="CX11" s="66">
        <v>0.02</v>
      </c>
      <c r="CY11" s="72"/>
      <c r="CZ11" s="72"/>
      <c r="DA11" s="78">
        <v>1.6999999999999999E-3</v>
      </c>
      <c r="DB11" s="38">
        <f t="shared" si="39"/>
        <v>14</v>
      </c>
      <c r="DC11" s="37">
        <v>0.02</v>
      </c>
      <c r="DD11" s="78">
        <v>0.14499999999999999</v>
      </c>
      <c r="DE11" s="38">
        <f t="shared" si="40"/>
        <v>6</v>
      </c>
      <c r="DF11" s="70">
        <v>0.2</v>
      </c>
      <c r="DG11" s="66">
        <v>75.950800661103486</v>
      </c>
      <c r="DH11" s="38">
        <f t="shared" si="41"/>
        <v>12</v>
      </c>
      <c r="DI11" s="70">
        <v>0.1</v>
      </c>
      <c r="DJ11" s="36">
        <v>2</v>
      </c>
      <c r="DK11" s="38">
        <f t="shared" si="42"/>
        <v>11</v>
      </c>
      <c r="DL11" s="70">
        <v>0.2</v>
      </c>
      <c r="DM11" s="70">
        <f t="shared" si="43"/>
        <v>0.60000000000000009</v>
      </c>
      <c r="DN11" s="75">
        <f t="shared" si="80"/>
        <v>5.8000000000000007</v>
      </c>
      <c r="DO11" s="67">
        <f t="shared" si="81"/>
        <v>11</v>
      </c>
      <c r="DP11" s="72">
        <v>3</v>
      </c>
      <c r="DQ11" s="37">
        <v>1</v>
      </c>
      <c r="DR11" s="38">
        <f t="shared" si="44"/>
        <v>1</v>
      </c>
      <c r="DS11" s="70">
        <v>0.1</v>
      </c>
      <c r="DT11" s="36">
        <v>0</v>
      </c>
      <c r="DU11" s="38">
        <f t="shared" si="45"/>
        <v>11</v>
      </c>
      <c r="DV11" s="37">
        <v>0.15</v>
      </c>
      <c r="DW11" s="36"/>
      <c r="DX11" s="36"/>
      <c r="DY11" s="36" t="e">
        <f t="shared" si="46"/>
        <v>#DIV/0!</v>
      </c>
      <c r="DZ11" s="38" t="e">
        <f t="shared" si="47"/>
        <v>#DIV/0!</v>
      </c>
      <c r="EA11" s="37">
        <v>0.05</v>
      </c>
      <c r="EB11" s="37">
        <f t="shared" si="48"/>
        <v>0.3</v>
      </c>
      <c r="EC11" s="75">
        <f t="shared" si="82"/>
        <v>1.75</v>
      </c>
      <c r="ED11" s="67">
        <f t="shared" si="83"/>
        <v>11</v>
      </c>
      <c r="EE11" s="79">
        <v>72</v>
      </c>
      <c r="EF11" s="79">
        <v>77</v>
      </c>
      <c r="EG11" s="80">
        <f t="shared" si="49"/>
        <v>93.506493506493499</v>
      </c>
      <c r="EH11" s="81">
        <f t="shared" si="50"/>
        <v>15</v>
      </c>
      <c r="EI11" s="66">
        <v>0.2</v>
      </c>
      <c r="EJ11" s="70">
        <v>65.099999999999994</v>
      </c>
      <c r="EK11" s="38">
        <f t="shared" si="51"/>
        <v>4</v>
      </c>
      <c r="EL11" s="37">
        <v>0.2</v>
      </c>
      <c r="EM11" s="36">
        <v>26</v>
      </c>
      <c r="EN11" s="37">
        <f t="shared" si="52"/>
        <v>100</v>
      </c>
      <c r="EO11" s="38">
        <f t="shared" si="53"/>
        <v>1</v>
      </c>
      <c r="EP11" s="70">
        <v>0.1</v>
      </c>
      <c r="EQ11" s="36">
        <v>1</v>
      </c>
      <c r="ER11" s="38">
        <f t="shared" si="54"/>
        <v>1</v>
      </c>
      <c r="ES11" s="37">
        <v>0.05</v>
      </c>
      <c r="ET11" s="36">
        <v>1</v>
      </c>
      <c r="EU11" s="38">
        <f t="shared" si="55"/>
        <v>1</v>
      </c>
      <c r="EV11" s="37">
        <v>0.05</v>
      </c>
      <c r="EW11" s="36">
        <v>3</v>
      </c>
      <c r="EX11" s="38">
        <f t="shared" si="56"/>
        <v>6</v>
      </c>
      <c r="EY11" s="37">
        <v>0.1</v>
      </c>
      <c r="EZ11" s="36">
        <v>12</v>
      </c>
      <c r="FA11" s="36">
        <v>16</v>
      </c>
      <c r="FB11" s="37">
        <f t="shared" si="57"/>
        <v>75</v>
      </c>
      <c r="FC11" s="38">
        <f t="shared" si="58"/>
        <v>15</v>
      </c>
      <c r="FD11" s="37">
        <v>0.05</v>
      </c>
      <c r="FE11" s="37">
        <v>20.599679560540171</v>
      </c>
      <c r="FF11" s="37">
        <v>20.979827089337174</v>
      </c>
      <c r="FG11" s="37">
        <f t="shared" si="59"/>
        <v>101.84540505923789</v>
      </c>
      <c r="FH11" s="38">
        <f t="shared" si="60"/>
        <v>11</v>
      </c>
      <c r="FI11" s="37">
        <v>0.15</v>
      </c>
      <c r="FJ11" s="36">
        <v>0</v>
      </c>
      <c r="FK11" s="37">
        <f t="shared" si="61"/>
        <v>0</v>
      </c>
      <c r="FL11" s="38">
        <f t="shared" si="62"/>
        <v>13</v>
      </c>
      <c r="FM11" s="37">
        <v>0.05</v>
      </c>
      <c r="FN11" s="36">
        <v>0</v>
      </c>
      <c r="FO11" s="37">
        <f t="shared" si="63"/>
        <v>0</v>
      </c>
      <c r="FP11" s="38">
        <f t="shared" si="64"/>
        <v>8</v>
      </c>
      <c r="FQ11" s="37">
        <v>0.05</v>
      </c>
      <c r="FR11" s="39">
        <f t="shared" si="65"/>
        <v>1.0000000000000002</v>
      </c>
      <c r="FS11" s="75">
        <f t="shared" si="84"/>
        <v>8.0500000000000007</v>
      </c>
      <c r="FT11" s="67">
        <f t="shared" si="85"/>
        <v>10</v>
      </c>
      <c r="FU11" s="30">
        <v>38</v>
      </c>
      <c r="FV11" s="30">
        <v>38</v>
      </c>
      <c r="FW11" s="82">
        <f t="shared" si="66"/>
        <v>100</v>
      </c>
      <c r="FX11" s="67">
        <f t="shared" si="67"/>
        <v>1</v>
      </c>
      <c r="FY11" s="83">
        <v>0.1</v>
      </c>
      <c r="FZ11" s="66">
        <f>82/BE11*1000</f>
        <v>9.3842984664682998</v>
      </c>
      <c r="GA11" s="66">
        <f>60/BF11*1000</f>
        <v>6.9164265129682994</v>
      </c>
      <c r="GB11" s="84">
        <f t="shared" si="68"/>
        <v>73.702115695508525</v>
      </c>
      <c r="GC11" s="38">
        <f t="shared" si="69"/>
        <v>6</v>
      </c>
      <c r="GD11" s="70">
        <v>0.1</v>
      </c>
      <c r="GE11" s="85">
        <v>27</v>
      </c>
      <c r="GF11" s="85">
        <v>27</v>
      </c>
      <c r="GG11" s="37">
        <f t="shared" si="70"/>
        <v>100</v>
      </c>
      <c r="GH11" s="38">
        <v>1</v>
      </c>
      <c r="GI11" s="70">
        <v>0.1</v>
      </c>
      <c r="GJ11" s="36">
        <v>15</v>
      </c>
      <c r="GK11" s="38">
        <f t="shared" si="71"/>
        <v>12</v>
      </c>
      <c r="GL11" s="70">
        <v>0.1</v>
      </c>
      <c r="GM11" s="36">
        <v>3</v>
      </c>
      <c r="GN11" s="37">
        <f t="shared" si="72"/>
        <v>0.345821325648415</v>
      </c>
      <c r="GO11" s="38">
        <f t="shared" si="73"/>
        <v>14</v>
      </c>
      <c r="GP11" s="70">
        <v>0.1</v>
      </c>
      <c r="GQ11" s="86">
        <f t="shared" si="74"/>
        <v>0.5</v>
      </c>
      <c r="GR11" s="75">
        <f t="shared" si="86"/>
        <v>3.4000000000000004</v>
      </c>
      <c r="GS11" s="67">
        <f t="shared" si="87"/>
        <v>10</v>
      </c>
      <c r="GT11" s="87">
        <f t="shared" si="88"/>
        <v>7.2</v>
      </c>
      <c r="GU11" s="88">
        <f t="shared" si="75"/>
        <v>11</v>
      </c>
      <c r="GV11" s="15" t="s">
        <v>8</v>
      </c>
    </row>
    <row r="12" spans="1:204" s="5" customFormat="1" ht="15.6" x14ac:dyDescent="0.3">
      <c r="A12" s="13">
        <v>7</v>
      </c>
      <c r="B12" s="15" t="s">
        <v>9</v>
      </c>
      <c r="C12" s="65">
        <v>72066.63</v>
      </c>
      <c r="D12" s="65">
        <v>84004.22</v>
      </c>
      <c r="E12" s="66">
        <f t="shared" si="0"/>
        <v>116.56465690153681</v>
      </c>
      <c r="F12" s="67">
        <f t="shared" si="1"/>
        <v>4</v>
      </c>
      <c r="G12" s="66">
        <v>0.13</v>
      </c>
      <c r="H12" s="68">
        <v>82228.27</v>
      </c>
      <c r="I12" s="69">
        <v>84004.22</v>
      </c>
      <c r="J12" s="37">
        <f t="shared" si="2"/>
        <v>102.15978032859014</v>
      </c>
      <c r="K12" s="37">
        <f>ABS(J12-K4)</f>
        <v>2.1597803285901449</v>
      </c>
      <c r="L12" s="38">
        <f t="shared" si="3"/>
        <v>5</v>
      </c>
      <c r="M12" s="70">
        <v>0.1</v>
      </c>
      <c r="N12" s="71">
        <v>13760.830000000002</v>
      </c>
      <c r="O12" s="72">
        <f t="shared" si="4"/>
        <v>13294</v>
      </c>
      <c r="P12" s="73">
        <f t="shared" si="5"/>
        <v>1.0351158417331128</v>
      </c>
      <c r="Q12" s="38">
        <f t="shared" si="6"/>
        <v>9</v>
      </c>
      <c r="R12" s="70">
        <v>0.1</v>
      </c>
      <c r="S12" s="71">
        <v>88694.22</v>
      </c>
      <c r="T12" s="71">
        <v>87473.39</v>
      </c>
      <c r="U12" s="37">
        <f t="shared" si="7"/>
        <v>98.6235517940177</v>
      </c>
      <c r="V12" s="38">
        <f t="shared" si="8"/>
        <v>7</v>
      </c>
      <c r="W12" s="70">
        <v>0.1</v>
      </c>
      <c r="X12" s="71">
        <v>72853.413790000006</v>
      </c>
      <c r="Y12" s="71">
        <v>10702.99984</v>
      </c>
      <c r="Z12" s="37">
        <f t="shared" si="9"/>
        <v>14.691143878104878</v>
      </c>
      <c r="AA12" s="67">
        <f t="shared" si="10"/>
        <v>3</v>
      </c>
      <c r="AB12" s="70">
        <v>0.1</v>
      </c>
      <c r="AC12" s="28">
        <v>87473.39</v>
      </c>
      <c r="AD12" s="28">
        <v>17990.400000000001</v>
      </c>
      <c r="AE12" s="66">
        <f t="shared" si="11"/>
        <v>20.566711773717699</v>
      </c>
      <c r="AF12" s="67">
        <f t="shared" si="12"/>
        <v>7</v>
      </c>
      <c r="AG12" s="66">
        <v>0.13</v>
      </c>
      <c r="AH12" s="33">
        <v>0</v>
      </c>
      <c r="AI12" s="28">
        <v>88694.22</v>
      </c>
      <c r="AJ12" s="27">
        <f t="shared" si="13"/>
        <v>0</v>
      </c>
      <c r="AK12" s="45">
        <f t="shared" si="14"/>
        <v>1</v>
      </c>
      <c r="AL12" s="30">
        <v>0.12</v>
      </c>
      <c r="AM12" s="27">
        <v>0.3</v>
      </c>
      <c r="AN12" s="28">
        <v>84004.22</v>
      </c>
      <c r="AO12" s="29">
        <f t="shared" si="15"/>
        <v>3.5712491586732187E-4</v>
      </c>
      <c r="AP12" s="45">
        <f t="shared" si="16"/>
        <v>8</v>
      </c>
      <c r="AQ12" s="30">
        <v>0.12</v>
      </c>
      <c r="AR12" s="28">
        <v>45534</v>
      </c>
      <c r="AS12" s="28">
        <v>100</v>
      </c>
      <c r="AT12" s="66">
        <f>AS12/AR12*100</f>
        <v>0.21961611103790574</v>
      </c>
      <c r="AU12" s="67">
        <f t="shared" si="17"/>
        <v>2</v>
      </c>
      <c r="AV12" s="30">
        <v>0.05</v>
      </c>
      <c r="AW12" s="28">
        <v>1650320.53</v>
      </c>
      <c r="AX12" s="28">
        <v>435154.16</v>
      </c>
      <c r="AY12" s="74">
        <f t="shared" si="18"/>
        <v>26.367857158027352</v>
      </c>
      <c r="AZ12" s="67">
        <f t="shared" si="19"/>
        <v>6</v>
      </c>
      <c r="BA12" s="30">
        <v>0.05</v>
      </c>
      <c r="BB12" s="66">
        <f t="shared" si="20"/>
        <v>1</v>
      </c>
      <c r="BC12" s="75">
        <f t="shared" si="76"/>
        <v>5.31</v>
      </c>
      <c r="BD12" s="67">
        <f t="shared" si="77"/>
        <v>2</v>
      </c>
      <c r="BE12" s="72">
        <v>12605</v>
      </c>
      <c r="BF12" s="72">
        <v>13294</v>
      </c>
      <c r="BG12" s="37">
        <f t="shared" si="21"/>
        <v>105.46608488694962</v>
      </c>
      <c r="BH12" s="38">
        <f t="shared" si="22"/>
        <v>2</v>
      </c>
      <c r="BI12" s="37">
        <v>0.12</v>
      </c>
      <c r="BJ12" s="30">
        <v>26</v>
      </c>
      <c r="BK12" s="66">
        <f t="shared" si="23"/>
        <v>1</v>
      </c>
      <c r="BL12" s="67">
        <f t="shared" si="24"/>
        <v>1</v>
      </c>
      <c r="BM12" s="66">
        <v>0.12</v>
      </c>
      <c r="BN12" s="28">
        <v>12114.7</v>
      </c>
      <c r="BO12" s="30">
        <v>29.1</v>
      </c>
      <c r="BP12" s="28">
        <f t="shared" si="25"/>
        <v>34692.726231386026</v>
      </c>
      <c r="BQ12" s="76">
        <f t="shared" si="26"/>
        <v>105.78469743314965</v>
      </c>
      <c r="BR12" s="70">
        <f>ABS(BQ12-BR4)</f>
        <v>5.7846974331496455</v>
      </c>
      <c r="BS12" s="67">
        <f t="shared" si="27"/>
        <v>14</v>
      </c>
      <c r="BT12" s="66">
        <v>0.15</v>
      </c>
      <c r="BU12" s="36">
        <v>27</v>
      </c>
      <c r="BV12" s="36">
        <v>24</v>
      </c>
      <c r="BW12" s="70">
        <f t="shared" si="28"/>
        <v>112.5</v>
      </c>
      <c r="BX12" s="38">
        <f t="shared" si="29"/>
        <v>10</v>
      </c>
      <c r="BY12" s="37">
        <v>0.11</v>
      </c>
      <c r="BZ12" s="36">
        <v>33</v>
      </c>
      <c r="CA12" s="36">
        <v>754</v>
      </c>
      <c r="CB12" s="37">
        <f t="shared" si="30"/>
        <v>4.3766578249336874</v>
      </c>
      <c r="CC12" s="38">
        <f t="shared" si="31"/>
        <v>4</v>
      </c>
      <c r="CD12" s="37">
        <v>0.03</v>
      </c>
      <c r="CE12" s="36">
        <v>8</v>
      </c>
      <c r="CF12" s="36">
        <v>8</v>
      </c>
      <c r="CG12" s="37">
        <f t="shared" si="32"/>
        <v>100</v>
      </c>
      <c r="CH12" s="38">
        <f t="shared" si="33"/>
        <v>1</v>
      </c>
      <c r="CI12" s="37">
        <v>7.0000000000000007E-2</v>
      </c>
      <c r="CJ12" s="36">
        <v>0</v>
      </c>
      <c r="CK12" s="37">
        <f t="shared" si="34"/>
        <v>0</v>
      </c>
      <c r="CL12" s="38">
        <f t="shared" si="35"/>
        <v>2</v>
      </c>
      <c r="CM12" s="70">
        <v>0.1</v>
      </c>
      <c r="CN12" s="70">
        <f t="shared" si="36"/>
        <v>0.70000000000000007</v>
      </c>
      <c r="CO12" s="75">
        <f t="shared" si="78"/>
        <v>3.95</v>
      </c>
      <c r="CP12" s="67">
        <f t="shared" si="79"/>
        <v>4</v>
      </c>
      <c r="CQ12" s="77"/>
      <c r="CR12" s="77"/>
      <c r="CS12" s="66">
        <v>92.7</v>
      </c>
      <c r="CT12" s="67">
        <f t="shared" si="37"/>
        <v>10</v>
      </c>
      <c r="CU12" s="66">
        <v>0.06</v>
      </c>
      <c r="CV12" s="66">
        <v>0</v>
      </c>
      <c r="CW12" s="67">
        <f t="shared" si="38"/>
        <v>1</v>
      </c>
      <c r="CX12" s="66">
        <v>0.02</v>
      </c>
      <c r="CY12" s="72"/>
      <c r="CZ12" s="72"/>
      <c r="DA12" s="78">
        <v>1E-3</v>
      </c>
      <c r="DB12" s="38">
        <f t="shared" si="39"/>
        <v>13</v>
      </c>
      <c r="DC12" s="37">
        <v>0.02</v>
      </c>
      <c r="DD12" s="78">
        <v>1.1379999999999999</v>
      </c>
      <c r="DE12" s="38">
        <f t="shared" si="40"/>
        <v>15</v>
      </c>
      <c r="DF12" s="70">
        <v>0.2</v>
      </c>
      <c r="DG12" s="66">
        <v>75.165889051499093</v>
      </c>
      <c r="DH12" s="38">
        <f t="shared" si="41"/>
        <v>13</v>
      </c>
      <c r="DI12" s="70">
        <v>0.1</v>
      </c>
      <c r="DJ12" s="36">
        <v>2</v>
      </c>
      <c r="DK12" s="38">
        <f t="shared" si="42"/>
        <v>11</v>
      </c>
      <c r="DL12" s="70">
        <v>0.2</v>
      </c>
      <c r="DM12" s="70">
        <f t="shared" si="43"/>
        <v>0.60000000000000009</v>
      </c>
      <c r="DN12" s="75">
        <f t="shared" si="80"/>
        <v>7.38</v>
      </c>
      <c r="DO12" s="67">
        <f t="shared" si="81"/>
        <v>17</v>
      </c>
      <c r="DP12" s="72">
        <v>3</v>
      </c>
      <c r="DQ12" s="37">
        <v>1</v>
      </c>
      <c r="DR12" s="38">
        <f t="shared" si="44"/>
        <v>1</v>
      </c>
      <c r="DS12" s="70">
        <v>0.1</v>
      </c>
      <c r="DT12" s="36">
        <v>1</v>
      </c>
      <c r="DU12" s="38">
        <f t="shared" si="45"/>
        <v>1</v>
      </c>
      <c r="DV12" s="37">
        <v>0.15</v>
      </c>
      <c r="DW12" s="36"/>
      <c r="DX12" s="36"/>
      <c r="DY12" s="36" t="e">
        <f t="shared" si="46"/>
        <v>#DIV/0!</v>
      </c>
      <c r="DZ12" s="38" t="e">
        <f t="shared" si="47"/>
        <v>#DIV/0!</v>
      </c>
      <c r="EA12" s="37">
        <v>0.05</v>
      </c>
      <c r="EB12" s="37">
        <f t="shared" si="48"/>
        <v>0.3</v>
      </c>
      <c r="EC12" s="75">
        <f t="shared" si="82"/>
        <v>0.25</v>
      </c>
      <c r="ED12" s="67">
        <f t="shared" si="83"/>
        <v>1</v>
      </c>
      <c r="EE12" s="79">
        <v>76</v>
      </c>
      <c r="EF12" s="79">
        <v>76</v>
      </c>
      <c r="EG12" s="80">
        <f t="shared" si="49"/>
        <v>100</v>
      </c>
      <c r="EH12" s="81">
        <f t="shared" si="50"/>
        <v>1</v>
      </c>
      <c r="EI12" s="66">
        <v>0.2</v>
      </c>
      <c r="EJ12" s="70">
        <v>47.4</v>
      </c>
      <c r="EK12" s="38">
        <f t="shared" si="51"/>
        <v>10</v>
      </c>
      <c r="EL12" s="37">
        <v>0.2</v>
      </c>
      <c r="EM12" s="36">
        <v>26</v>
      </c>
      <c r="EN12" s="37">
        <f t="shared" si="52"/>
        <v>100</v>
      </c>
      <c r="EO12" s="38">
        <f t="shared" si="53"/>
        <v>1</v>
      </c>
      <c r="EP12" s="70">
        <v>0.1</v>
      </c>
      <c r="EQ12" s="36">
        <v>1</v>
      </c>
      <c r="ER12" s="38">
        <f t="shared" si="54"/>
        <v>1</v>
      </c>
      <c r="ES12" s="37">
        <v>0.05</v>
      </c>
      <c r="ET12" s="36">
        <v>1</v>
      </c>
      <c r="EU12" s="38">
        <f t="shared" si="55"/>
        <v>1</v>
      </c>
      <c r="EV12" s="37">
        <v>0.05</v>
      </c>
      <c r="EW12" s="36">
        <v>13</v>
      </c>
      <c r="EX12" s="38">
        <f t="shared" si="56"/>
        <v>1</v>
      </c>
      <c r="EY12" s="37">
        <v>0.1</v>
      </c>
      <c r="EZ12" s="36">
        <v>9</v>
      </c>
      <c r="FA12" s="36">
        <v>16</v>
      </c>
      <c r="FB12" s="37">
        <f t="shared" si="57"/>
        <v>56.25</v>
      </c>
      <c r="FC12" s="38">
        <f t="shared" si="58"/>
        <v>14</v>
      </c>
      <c r="FD12" s="37">
        <v>0.05</v>
      </c>
      <c r="FE12" s="37">
        <v>45.934153113843713</v>
      </c>
      <c r="FF12" s="37">
        <v>52.20400180532571</v>
      </c>
      <c r="FG12" s="37">
        <f t="shared" si="59"/>
        <v>113.64964469017799</v>
      </c>
      <c r="FH12" s="38">
        <f t="shared" si="60"/>
        <v>4</v>
      </c>
      <c r="FI12" s="37">
        <v>0.15</v>
      </c>
      <c r="FJ12" s="36">
        <v>67</v>
      </c>
      <c r="FK12" s="37">
        <f t="shared" si="61"/>
        <v>5.0398676094478718</v>
      </c>
      <c r="FL12" s="38">
        <f t="shared" si="62"/>
        <v>2</v>
      </c>
      <c r="FM12" s="37">
        <v>0.05</v>
      </c>
      <c r="FN12" s="36">
        <v>53</v>
      </c>
      <c r="FO12" s="37">
        <f t="shared" si="63"/>
        <v>3.9867609447871217</v>
      </c>
      <c r="FP12" s="38">
        <f t="shared" si="64"/>
        <v>2</v>
      </c>
      <c r="FQ12" s="37">
        <v>0.05</v>
      </c>
      <c r="FR12" s="39">
        <f t="shared" si="65"/>
        <v>1.0000000000000002</v>
      </c>
      <c r="FS12" s="75">
        <f>(EH12*EI12+EK12*EL12+EO12*EP12+ER12*ES12+EU12*EV12+EX12*EY12+FC12*FD12+FH12*FI12+FL12*FM12+FP12*FQ12)</f>
        <v>4</v>
      </c>
      <c r="FT12" s="67">
        <f t="shared" si="85"/>
        <v>2</v>
      </c>
      <c r="FU12" s="30">
        <v>55</v>
      </c>
      <c r="FV12" s="30">
        <v>55</v>
      </c>
      <c r="FW12" s="82">
        <f t="shared" si="66"/>
        <v>100</v>
      </c>
      <c r="FX12" s="67">
        <f t="shared" si="67"/>
        <v>1</v>
      </c>
      <c r="FY12" s="83">
        <v>0.1</v>
      </c>
      <c r="FZ12" s="66">
        <f>210/BE12*1000</f>
        <v>16.660055533518445</v>
      </c>
      <c r="GA12" s="66">
        <f>186/BF12*1000</f>
        <v>13.991274259064241</v>
      </c>
      <c r="GB12" s="84">
        <f t="shared" si="68"/>
        <v>83.980958112145117</v>
      </c>
      <c r="GC12" s="38">
        <f t="shared" si="69"/>
        <v>11</v>
      </c>
      <c r="GD12" s="70">
        <v>0.1</v>
      </c>
      <c r="GE12" s="85">
        <v>60</v>
      </c>
      <c r="GF12" s="85">
        <v>60</v>
      </c>
      <c r="GG12" s="37">
        <f t="shared" si="70"/>
        <v>100</v>
      </c>
      <c r="GH12" s="38">
        <v>1</v>
      </c>
      <c r="GI12" s="70">
        <v>0.1</v>
      </c>
      <c r="GJ12" s="36">
        <v>28</v>
      </c>
      <c r="GK12" s="38">
        <f t="shared" si="71"/>
        <v>16</v>
      </c>
      <c r="GL12" s="70">
        <v>0.1</v>
      </c>
      <c r="GM12" s="36">
        <v>1</v>
      </c>
      <c r="GN12" s="37">
        <f t="shared" si="72"/>
        <v>7.5221904618624935E-2</v>
      </c>
      <c r="GO12" s="38">
        <f t="shared" si="73"/>
        <v>9</v>
      </c>
      <c r="GP12" s="70">
        <v>0.1</v>
      </c>
      <c r="GQ12" s="86">
        <f t="shared" si="74"/>
        <v>0.5</v>
      </c>
      <c r="GR12" s="75">
        <f t="shared" si="86"/>
        <v>3.8000000000000003</v>
      </c>
      <c r="GS12" s="67">
        <f t="shared" si="87"/>
        <v>13</v>
      </c>
      <c r="GT12" s="87">
        <f t="shared" si="88"/>
        <v>3.9666666666666672</v>
      </c>
      <c r="GU12" s="88">
        <f t="shared" si="75"/>
        <v>3</v>
      </c>
      <c r="GV12" s="15" t="s">
        <v>9</v>
      </c>
    </row>
    <row r="13" spans="1:204" s="5" customFormat="1" ht="15.6" x14ac:dyDescent="0.3">
      <c r="A13" s="13">
        <v>8</v>
      </c>
      <c r="B13" s="15" t="s">
        <v>10</v>
      </c>
      <c r="C13" s="65">
        <v>32018.17</v>
      </c>
      <c r="D13" s="65">
        <v>34654.61</v>
      </c>
      <c r="E13" s="66">
        <f t="shared" si="0"/>
        <v>108.23419951858585</v>
      </c>
      <c r="F13" s="67">
        <f t="shared" si="1"/>
        <v>8</v>
      </c>
      <c r="G13" s="66">
        <v>0.13</v>
      </c>
      <c r="H13" s="68">
        <v>32463.25</v>
      </c>
      <c r="I13" s="69">
        <v>34654.61</v>
      </c>
      <c r="J13" s="37">
        <f t="shared" si="2"/>
        <v>106.75027916182145</v>
      </c>
      <c r="K13" s="37">
        <f>ABS(J13-K4)</f>
        <v>6.750279161821453</v>
      </c>
      <c r="L13" s="38">
        <f t="shared" si="3"/>
        <v>15</v>
      </c>
      <c r="M13" s="70">
        <v>0.1</v>
      </c>
      <c r="N13" s="71">
        <v>10862.130000000001</v>
      </c>
      <c r="O13" s="72">
        <f t="shared" si="4"/>
        <v>10336</v>
      </c>
      <c r="P13" s="73">
        <f t="shared" si="5"/>
        <v>1.0509026702786379</v>
      </c>
      <c r="Q13" s="38">
        <f t="shared" si="6"/>
        <v>8</v>
      </c>
      <c r="R13" s="70">
        <v>0.1</v>
      </c>
      <c r="S13" s="71">
        <v>64274.9</v>
      </c>
      <c r="T13" s="71">
        <v>62686.16</v>
      </c>
      <c r="U13" s="37">
        <f t="shared" si="7"/>
        <v>97.528210856804137</v>
      </c>
      <c r="V13" s="38">
        <f t="shared" si="8"/>
        <v>12</v>
      </c>
      <c r="W13" s="70">
        <v>0.1</v>
      </c>
      <c r="X13" s="71">
        <v>50662.777750000001</v>
      </c>
      <c r="Y13" s="71">
        <v>10162.457759999999</v>
      </c>
      <c r="Z13" s="37">
        <f t="shared" si="9"/>
        <v>20.059022049970405</v>
      </c>
      <c r="AA13" s="67">
        <f t="shared" si="10"/>
        <v>11</v>
      </c>
      <c r="AB13" s="70">
        <v>0.1</v>
      </c>
      <c r="AC13" s="28">
        <v>62686.16</v>
      </c>
      <c r="AD13" s="28">
        <v>13058.3</v>
      </c>
      <c r="AE13" s="66">
        <f t="shared" si="11"/>
        <v>20.831232922865269</v>
      </c>
      <c r="AF13" s="67">
        <f t="shared" si="12"/>
        <v>6</v>
      </c>
      <c r="AG13" s="66">
        <v>0.13</v>
      </c>
      <c r="AH13" s="33">
        <v>0</v>
      </c>
      <c r="AI13" s="28">
        <v>64274.9</v>
      </c>
      <c r="AJ13" s="27">
        <f t="shared" si="13"/>
        <v>0</v>
      </c>
      <c r="AK13" s="45">
        <f t="shared" si="14"/>
        <v>1</v>
      </c>
      <c r="AL13" s="30">
        <v>0.12</v>
      </c>
      <c r="AM13" s="27">
        <v>0</v>
      </c>
      <c r="AN13" s="28">
        <v>34654.61</v>
      </c>
      <c r="AO13" s="29">
        <f t="shared" si="15"/>
        <v>0</v>
      </c>
      <c r="AP13" s="45">
        <f t="shared" si="16"/>
        <v>1</v>
      </c>
      <c r="AQ13" s="30">
        <v>0.12</v>
      </c>
      <c r="AR13" s="28">
        <v>0</v>
      </c>
      <c r="AS13" s="28">
        <v>0</v>
      </c>
      <c r="AT13" s="66">
        <v>0</v>
      </c>
      <c r="AU13" s="67">
        <f t="shared" si="17"/>
        <v>5</v>
      </c>
      <c r="AV13" s="30">
        <v>0.05</v>
      </c>
      <c r="AW13" s="28">
        <v>2267913.08</v>
      </c>
      <c r="AX13" s="28">
        <v>0</v>
      </c>
      <c r="AY13" s="74">
        <f t="shared" si="18"/>
        <v>0</v>
      </c>
      <c r="AZ13" s="67">
        <f t="shared" si="19"/>
        <v>12</v>
      </c>
      <c r="BA13" s="30">
        <v>0.05</v>
      </c>
      <c r="BB13" s="66">
        <f t="shared" si="20"/>
        <v>1</v>
      </c>
      <c r="BC13" s="75">
        <f t="shared" si="76"/>
        <v>7.5100000000000016</v>
      </c>
      <c r="BD13" s="67">
        <f t="shared" si="77"/>
        <v>7</v>
      </c>
      <c r="BE13" s="72">
        <v>10253</v>
      </c>
      <c r="BF13" s="72">
        <v>10336</v>
      </c>
      <c r="BG13" s="37">
        <f t="shared" si="21"/>
        <v>100.8095191651224</v>
      </c>
      <c r="BH13" s="38">
        <f t="shared" si="22"/>
        <v>9</v>
      </c>
      <c r="BI13" s="37">
        <v>0.12</v>
      </c>
      <c r="BJ13" s="30">
        <v>23</v>
      </c>
      <c r="BK13" s="66">
        <f t="shared" si="23"/>
        <v>0.88461538461538458</v>
      </c>
      <c r="BL13" s="67">
        <f t="shared" si="24"/>
        <v>6</v>
      </c>
      <c r="BM13" s="66">
        <v>0.12</v>
      </c>
      <c r="BN13" s="28">
        <v>11219.9</v>
      </c>
      <c r="BO13" s="30">
        <v>25.9</v>
      </c>
      <c r="BP13" s="28">
        <f t="shared" si="25"/>
        <v>36100.064350064349</v>
      </c>
      <c r="BQ13" s="76">
        <f t="shared" si="26"/>
        <v>110.07593808335372</v>
      </c>
      <c r="BR13" s="70">
        <f>ABS(BQ13-BR4)</f>
        <v>10.075938083353719</v>
      </c>
      <c r="BS13" s="67">
        <f t="shared" si="27"/>
        <v>16</v>
      </c>
      <c r="BT13" s="66">
        <v>0.15</v>
      </c>
      <c r="BU13" s="36">
        <v>19</v>
      </c>
      <c r="BV13" s="36">
        <v>16</v>
      </c>
      <c r="BW13" s="70">
        <f t="shared" si="28"/>
        <v>118.75</v>
      </c>
      <c r="BX13" s="38">
        <f t="shared" si="29"/>
        <v>13</v>
      </c>
      <c r="BY13" s="37">
        <v>0.11</v>
      </c>
      <c r="BZ13" s="36">
        <v>11</v>
      </c>
      <c r="CA13" s="36">
        <v>634</v>
      </c>
      <c r="CB13" s="37">
        <f t="shared" si="30"/>
        <v>1.7350157728706623</v>
      </c>
      <c r="CC13" s="38">
        <f t="shared" si="31"/>
        <v>6</v>
      </c>
      <c r="CD13" s="37">
        <v>0.03</v>
      </c>
      <c r="CE13" s="36">
        <v>5</v>
      </c>
      <c r="CF13" s="36">
        <v>7</v>
      </c>
      <c r="CG13" s="37">
        <f t="shared" si="32"/>
        <v>71.428571428571431</v>
      </c>
      <c r="CH13" s="38">
        <f t="shared" si="33"/>
        <v>16</v>
      </c>
      <c r="CI13" s="37">
        <v>7.0000000000000007E-2</v>
      </c>
      <c r="CJ13" s="36">
        <v>0</v>
      </c>
      <c r="CK13" s="37">
        <f t="shared" si="34"/>
        <v>0</v>
      </c>
      <c r="CL13" s="38">
        <f t="shared" si="35"/>
        <v>2</v>
      </c>
      <c r="CM13" s="70">
        <v>0.1</v>
      </c>
      <c r="CN13" s="70">
        <f t="shared" si="36"/>
        <v>0.70000000000000007</v>
      </c>
      <c r="CO13" s="75">
        <f t="shared" si="78"/>
        <v>7.13</v>
      </c>
      <c r="CP13" s="67">
        <f t="shared" si="79"/>
        <v>16</v>
      </c>
      <c r="CQ13" s="77"/>
      <c r="CR13" s="77"/>
      <c r="CS13" s="66">
        <v>91.8</v>
      </c>
      <c r="CT13" s="67">
        <f t="shared" si="37"/>
        <v>12</v>
      </c>
      <c r="CU13" s="66">
        <v>0.06</v>
      </c>
      <c r="CV13" s="66">
        <v>20.16</v>
      </c>
      <c r="CW13" s="67">
        <f t="shared" si="38"/>
        <v>17</v>
      </c>
      <c r="CX13" s="66">
        <v>0.02</v>
      </c>
      <c r="CY13" s="72"/>
      <c r="CZ13" s="72"/>
      <c r="DA13" s="78">
        <v>0</v>
      </c>
      <c r="DB13" s="38">
        <f t="shared" si="39"/>
        <v>1</v>
      </c>
      <c r="DC13" s="37">
        <v>0.02</v>
      </c>
      <c r="DD13" s="78">
        <v>0.376</v>
      </c>
      <c r="DE13" s="38">
        <f t="shared" si="40"/>
        <v>9</v>
      </c>
      <c r="DF13" s="70">
        <v>0.2</v>
      </c>
      <c r="DG13" s="66">
        <v>82.603695149032973</v>
      </c>
      <c r="DH13" s="38">
        <f t="shared" si="41"/>
        <v>6</v>
      </c>
      <c r="DI13" s="70">
        <v>0.1</v>
      </c>
      <c r="DJ13" s="36">
        <v>6</v>
      </c>
      <c r="DK13" s="38">
        <f t="shared" si="42"/>
        <v>1</v>
      </c>
      <c r="DL13" s="70">
        <v>0.2</v>
      </c>
      <c r="DM13" s="70">
        <f t="shared" si="43"/>
        <v>0.60000000000000009</v>
      </c>
      <c r="DN13" s="75">
        <f t="shared" si="80"/>
        <v>3.68</v>
      </c>
      <c r="DO13" s="67">
        <f t="shared" si="81"/>
        <v>6</v>
      </c>
      <c r="DP13" s="72">
        <v>1</v>
      </c>
      <c r="DQ13" s="37">
        <v>0.3</v>
      </c>
      <c r="DR13" s="38">
        <f t="shared" si="44"/>
        <v>17</v>
      </c>
      <c r="DS13" s="70">
        <v>0.1</v>
      </c>
      <c r="DT13" s="36">
        <v>0</v>
      </c>
      <c r="DU13" s="38">
        <f t="shared" si="45"/>
        <v>11</v>
      </c>
      <c r="DV13" s="37">
        <v>0.15</v>
      </c>
      <c r="DW13" s="36"/>
      <c r="DX13" s="36"/>
      <c r="DY13" s="36" t="e">
        <f t="shared" si="46"/>
        <v>#DIV/0!</v>
      </c>
      <c r="DZ13" s="38" t="e">
        <f t="shared" si="47"/>
        <v>#DIV/0!</v>
      </c>
      <c r="EA13" s="37">
        <v>0.05</v>
      </c>
      <c r="EB13" s="37">
        <f t="shared" si="48"/>
        <v>0.3</v>
      </c>
      <c r="EC13" s="75">
        <f t="shared" si="82"/>
        <v>3.35</v>
      </c>
      <c r="ED13" s="67">
        <f t="shared" si="83"/>
        <v>17</v>
      </c>
      <c r="EE13" s="79">
        <v>75</v>
      </c>
      <c r="EF13" s="79">
        <v>76</v>
      </c>
      <c r="EG13" s="80">
        <f t="shared" si="49"/>
        <v>98.68421052631578</v>
      </c>
      <c r="EH13" s="81">
        <f t="shared" si="50"/>
        <v>9</v>
      </c>
      <c r="EI13" s="66">
        <v>0.2</v>
      </c>
      <c r="EJ13" s="70">
        <v>59.2</v>
      </c>
      <c r="EK13" s="38">
        <f t="shared" si="51"/>
        <v>6</v>
      </c>
      <c r="EL13" s="37">
        <v>0.2</v>
      </c>
      <c r="EM13" s="36">
        <v>26</v>
      </c>
      <c r="EN13" s="37">
        <f t="shared" si="52"/>
        <v>100</v>
      </c>
      <c r="EO13" s="38">
        <f t="shared" si="53"/>
        <v>1</v>
      </c>
      <c r="EP13" s="70">
        <v>0.1</v>
      </c>
      <c r="EQ13" s="36">
        <v>1</v>
      </c>
      <c r="ER13" s="38">
        <f t="shared" si="54"/>
        <v>1</v>
      </c>
      <c r="ES13" s="37">
        <v>0.05</v>
      </c>
      <c r="ET13" s="36">
        <v>1</v>
      </c>
      <c r="EU13" s="38">
        <f t="shared" si="55"/>
        <v>1</v>
      </c>
      <c r="EV13" s="37">
        <v>0.05</v>
      </c>
      <c r="EW13" s="36">
        <v>1</v>
      </c>
      <c r="EX13" s="38">
        <f t="shared" si="56"/>
        <v>10</v>
      </c>
      <c r="EY13" s="37">
        <v>0.1</v>
      </c>
      <c r="EZ13" s="36">
        <v>14</v>
      </c>
      <c r="FA13" s="36">
        <v>14</v>
      </c>
      <c r="FB13" s="37">
        <f t="shared" si="57"/>
        <v>100</v>
      </c>
      <c r="FC13" s="38">
        <f t="shared" si="58"/>
        <v>17</v>
      </c>
      <c r="FD13" s="37">
        <v>0.05</v>
      </c>
      <c r="FE13" s="37">
        <v>31.698039598166389</v>
      </c>
      <c r="FF13" s="37">
        <v>34.636222910216716</v>
      </c>
      <c r="FG13" s="37">
        <f t="shared" si="59"/>
        <v>109.269290307216</v>
      </c>
      <c r="FH13" s="38">
        <f t="shared" si="60"/>
        <v>5</v>
      </c>
      <c r="FI13" s="37">
        <v>0.15</v>
      </c>
      <c r="FJ13" s="36">
        <v>14</v>
      </c>
      <c r="FK13" s="37">
        <f t="shared" si="61"/>
        <v>1.3544891640866874</v>
      </c>
      <c r="FL13" s="38">
        <f t="shared" si="62"/>
        <v>6</v>
      </c>
      <c r="FM13" s="37">
        <v>0.05</v>
      </c>
      <c r="FN13" s="36">
        <v>16</v>
      </c>
      <c r="FO13" s="37">
        <f t="shared" si="63"/>
        <v>1.5479876160990713</v>
      </c>
      <c r="FP13" s="38">
        <f t="shared" si="64"/>
        <v>3</v>
      </c>
      <c r="FQ13" s="37">
        <v>0.05</v>
      </c>
      <c r="FR13" s="39">
        <f t="shared" si="65"/>
        <v>1.0000000000000002</v>
      </c>
      <c r="FS13" s="75">
        <f t="shared" si="84"/>
        <v>6.2499999999999991</v>
      </c>
      <c r="FT13" s="67">
        <f t="shared" si="85"/>
        <v>8</v>
      </c>
      <c r="FU13" s="30">
        <v>31</v>
      </c>
      <c r="FV13" s="30">
        <v>31</v>
      </c>
      <c r="FW13" s="82">
        <f t="shared" si="66"/>
        <v>100</v>
      </c>
      <c r="FX13" s="67">
        <f t="shared" si="67"/>
        <v>1</v>
      </c>
      <c r="FY13" s="83">
        <v>0.1</v>
      </c>
      <c r="FZ13" s="66">
        <f>119/BE13*1000</f>
        <v>11.606359114405539</v>
      </c>
      <c r="GA13" s="66">
        <f>135/BF13*1000</f>
        <v>13.061145510835914</v>
      </c>
      <c r="GB13" s="84">
        <f t="shared" si="68"/>
        <v>112.53439069126104</v>
      </c>
      <c r="GC13" s="38">
        <f t="shared" si="69"/>
        <v>15</v>
      </c>
      <c r="GD13" s="70">
        <v>0.1</v>
      </c>
      <c r="GE13" s="85">
        <v>55</v>
      </c>
      <c r="GF13" s="85">
        <v>55</v>
      </c>
      <c r="GG13" s="37">
        <f t="shared" si="70"/>
        <v>100</v>
      </c>
      <c r="GH13" s="38">
        <v>1</v>
      </c>
      <c r="GI13" s="70">
        <v>0.1</v>
      </c>
      <c r="GJ13" s="36">
        <v>20</v>
      </c>
      <c r="GK13" s="38">
        <f t="shared" si="71"/>
        <v>15</v>
      </c>
      <c r="GL13" s="70">
        <v>0.1</v>
      </c>
      <c r="GM13" s="36">
        <v>5</v>
      </c>
      <c r="GN13" s="37">
        <f t="shared" si="72"/>
        <v>0.48374613003095973</v>
      </c>
      <c r="GO13" s="38">
        <f t="shared" si="73"/>
        <v>15</v>
      </c>
      <c r="GP13" s="70">
        <v>0.1</v>
      </c>
      <c r="GQ13" s="86">
        <f t="shared" si="74"/>
        <v>0.5</v>
      </c>
      <c r="GR13" s="75">
        <f t="shared" si="86"/>
        <v>4.7</v>
      </c>
      <c r="GS13" s="67">
        <f t="shared" si="87"/>
        <v>17</v>
      </c>
      <c r="GT13" s="87">
        <f t="shared" si="88"/>
        <v>7.2333333333333343</v>
      </c>
      <c r="GU13" s="88">
        <f t="shared" si="75"/>
        <v>12</v>
      </c>
      <c r="GV13" s="15" t="s">
        <v>10</v>
      </c>
    </row>
    <row r="14" spans="1:204" s="5" customFormat="1" ht="15.6" x14ac:dyDescent="0.3">
      <c r="A14" s="13">
        <v>9</v>
      </c>
      <c r="B14" s="15" t="s">
        <v>11</v>
      </c>
      <c r="C14" s="65">
        <v>5065.1400000000003</v>
      </c>
      <c r="D14" s="65">
        <v>4539.51</v>
      </c>
      <c r="E14" s="66">
        <f t="shared" si="0"/>
        <v>89.622596808775285</v>
      </c>
      <c r="F14" s="67">
        <f t="shared" si="1"/>
        <v>15</v>
      </c>
      <c r="G14" s="66">
        <v>0.13</v>
      </c>
      <c r="H14" s="68">
        <v>4559.88</v>
      </c>
      <c r="I14" s="69">
        <v>4539.51</v>
      </c>
      <c r="J14" s="37">
        <f t="shared" si="2"/>
        <v>99.553277717834689</v>
      </c>
      <c r="K14" s="37">
        <f>ABS(J14-K4)</f>
        <v>0.44672228216531096</v>
      </c>
      <c r="L14" s="38">
        <f t="shared" si="3"/>
        <v>1</v>
      </c>
      <c r="M14" s="70">
        <v>0.1</v>
      </c>
      <c r="N14" s="71">
        <v>1822.19</v>
      </c>
      <c r="O14" s="72">
        <f t="shared" si="4"/>
        <v>1516</v>
      </c>
      <c r="P14" s="73">
        <f t="shared" si="5"/>
        <v>1.201972295514512</v>
      </c>
      <c r="Q14" s="38">
        <f t="shared" si="6"/>
        <v>5</v>
      </c>
      <c r="R14" s="70">
        <v>0.1</v>
      </c>
      <c r="S14" s="71">
        <v>14126.15</v>
      </c>
      <c r="T14" s="71">
        <v>13898.91</v>
      </c>
      <c r="U14" s="37">
        <f t="shared" si="7"/>
        <v>98.391352208492762</v>
      </c>
      <c r="V14" s="38">
        <f t="shared" si="8"/>
        <v>10</v>
      </c>
      <c r="W14" s="70">
        <v>0.1</v>
      </c>
      <c r="X14" s="71">
        <v>11977.4259</v>
      </c>
      <c r="Y14" s="71">
        <v>4101.1475499999997</v>
      </c>
      <c r="Z14" s="37">
        <f t="shared" si="9"/>
        <v>34.240642223468065</v>
      </c>
      <c r="AA14" s="67">
        <f t="shared" si="10"/>
        <v>15</v>
      </c>
      <c r="AB14" s="70">
        <v>0.1</v>
      </c>
      <c r="AC14" s="28">
        <v>13898.91</v>
      </c>
      <c r="AD14" s="28">
        <v>2706</v>
      </c>
      <c r="AE14" s="66">
        <f t="shared" si="11"/>
        <v>19.469152617003779</v>
      </c>
      <c r="AF14" s="67">
        <f t="shared" si="12"/>
        <v>11</v>
      </c>
      <c r="AG14" s="66">
        <v>0.13</v>
      </c>
      <c r="AH14" s="33">
        <v>0</v>
      </c>
      <c r="AI14" s="28">
        <v>14126.15</v>
      </c>
      <c r="AJ14" s="27">
        <f t="shared" si="13"/>
        <v>0</v>
      </c>
      <c r="AK14" s="45">
        <f t="shared" si="14"/>
        <v>1</v>
      </c>
      <c r="AL14" s="30">
        <v>0.12</v>
      </c>
      <c r="AM14" s="27">
        <v>7.6101000000000002E-2</v>
      </c>
      <c r="AN14" s="28">
        <v>4539.51</v>
      </c>
      <c r="AO14" s="29">
        <f t="shared" si="15"/>
        <v>1.6764144147716385E-3</v>
      </c>
      <c r="AP14" s="45">
        <f t="shared" si="16"/>
        <v>11</v>
      </c>
      <c r="AQ14" s="30">
        <v>0.12</v>
      </c>
      <c r="AR14" s="28">
        <v>0</v>
      </c>
      <c r="AS14" s="28">
        <v>0</v>
      </c>
      <c r="AT14" s="66">
        <v>0</v>
      </c>
      <c r="AU14" s="67">
        <f t="shared" si="17"/>
        <v>5</v>
      </c>
      <c r="AV14" s="30">
        <v>0.05</v>
      </c>
      <c r="AW14" s="28">
        <v>83634.710000000006</v>
      </c>
      <c r="AX14" s="28">
        <v>50992.94</v>
      </c>
      <c r="AY14" s="74">
        <f t="shared" si="18"/>
        <v>60.971025068419557</v>
      </c>
      <c r="AZ14" s="67">
        <f t="shared" si="19"/>
        <v>4</v>
      </c>
      <c r="BA14" s="30">
        <v>0.05</v>
      </c>
      <c r="BB14" s="66">
        <f t="shared" si="20"/>
        <v>1</v>
      </c>
      <c r="BC14" s="75">
        <f t="shared" si="76"/>
        <v>8.3699999999999992</v>
      </c>
      <c r="BD14" s="67">
        <f t="shared" si="77"/>
        <v>10</v>
      </c>
      <c r="BE14" s="72">
        <v>1506</v>
      </c>
      <c r="BF14" s="72">
        <v>1516</v>
      </c>
      <c r="BG14" s="37">
        <f t="shared" si="21"/>
        <v>100.66401062416999</v>
      </c>
      <c r="BH14" s="38">
        <f t="shared" si="22"/>
        <v>10</v>
      </c>
      <c r="BI14" s="37">
        <v>0.12</v>
      </c>
      <c r="BJ14" s="30">
        <v>6</v>
      </c>
      <c r="BK14" s="66">
        <f t="shared" si="23"/>
        <v>0.23076923076923078</v>
      </c>
      <c r="BL14" s="67">
        <f t="shared" si="24"/>
        <v>16</v>
      </c>
      <c r="BM14" s="66">
        <v>0.12</v>
      </c>
      <c r="BN14" s="28">
        <v>780.3</v>
      </c>
      <c r="BO14" s="30">
        <v>2</v>
      </c>
      <c r="BP14" s="28">
        <f t="shared" si="25"/>
        <v>32512.499999999996</v>
      </c>
      <c r="BQ14" s="76">
        <f t="shared" si="26"/>
        <v>99.136774445352415</v>
      </c>
      <c r="BR14" s="70">
        <f>ABS(BQ14-BR4)</f>
        <v>0.86322555464758466</v>
      </c>
      <c r="BS14" s="67">
        <f t="shared" si="27"/>
        <v>8</v>
      </c>
      <c r="BT14" s="66">
        <v>0.15</v>
      </c>
      <c r="BU14" s="36">
        <v>2</v>
      </c>
      <c r="BV14" s="36">
        <v>4</v>
      </c>
      <c r="BW14" s="70">
        <f t="shared" si="28"/>
        <v>50</v>
      </c>
      <c r="BX14" s="38">
        <f t="shared" si="29"/>
        <v>4</v>
      </c>
      <c r="BY14" s="37">
        <v>0.11</v>
      </c>
      <c r="BZ14" s="36">
        <v>0</v>
      </c>
      <c r="CA14" s="36">
        <v>59</v>
      </c>
      <c r="CB14" s="37">
        <f t="shared" si="30"/>
        <v>0</v>
      </c>
      <c r="CC14" s="38">
        <f t="shared" si="31"/>
        <v>11</v>
      </c>
      <c r="CD14" s="37">
        <v>0.03</v>
      </c>
      <c r="CE14" s="36">
        <v>1</v>
      </c>
      <c r="CF14" s="36">
        <v>1</v>
      </c>
      <c r="CG14" s="37">
        <f t="shared" si="32"/>
        <v>100</v>
      </c>
      <c r="CH14" s="38">
        <f t="shared" si="33"/>
        <v>1</v>
      </c>
      <c r="CI14" s="37">
        <v>7.0000000000000007E-2</v>
      </c>
      <c r="CJ14" s="36">
        <v>0</v>
      </c>
      <c r="CK14" s="37">
        <f t="shared" si="34"/>
        <v>0</v>
      </c>
      <c r="CL14" s="38">
        <f t="shared" si="35"/>
        <v>2</v>
      </c>
      <c r="CM14" s="70">
        <v>0.1</v>
      </c>
      <c r="CN14" s="70">
        <f t="shared" si="36"/>
        <v>0.70000000000000007</v>
      </c>
      <c r="CO14" s="75">
        <f t="shared" si="78"/>
        <v>5.3600000000000012</v>
      </c>
      <c r="CP14" s="67">
        <f t="shared" si="79"/>
        <v>11</v>
      </c>
      <c r="CQ14" s="77"/>
      <c r="CR14" s="77"/>
      <c r="CS14" s="66">
        <v>48.5</v>
      </c>
      <c r="CT14" s="67">
        <f t="shared" si="37"/>
        <v>17</v>
      </c>
      <c r="CU14" s="66">
        <v>0.06</v>
      </c>
      <c r="CV14" s="66">
        <v>0</v>
      </c>
      <c r="CW14" s="67">
        <f t="shared" si="38"/>
        <v>1</v>
      </c>
      <c r="CX14" s="66">
        <v>0.02</v>
      </c>
      <c r="CY14" s="72"/>
      <c r="CZ14" s="72"/>
      <c r="DA14" s="78">
        <v>9.7E-5</v>
      </c>
      <c r="DB14" s="38">
        <f t="shared" si="39"/>
        <v>10</v>
      </c>
      <c r="DC14" s="37">
        <v>0.02</v>
      </c>
      <c r="DD14" s="78">
        <v>7.1999999999999995E-2</v>
      </c>
      <c r="DE14" s="38">
        <f t="shared" si="40"/>
        <v>4</v>
      </c>
      <c r="DF14" s="131">
        <v>0.2</v>
      </c>
      <c r="DG14" s="66">
        <v>31.018550564130958</v>
      </c>
      <c r="DH14" s="132">
        <f t="shared" si="41"/>
        <v>17</v>
      </c>
      <c r="DI14" s="70">
        <v>0.1</v>
      </c>
      <c r="DJ14" s="36">
        <v>6</v>
      </c>
      <c r="DK14" s="38">
        <f t="shared" si="42"/>
        <v>1</v>
      </c>
      <c r="DL14" s="70">
        <v>0.2</v>
      </c>
      <c r="DM14" s="70">
        <f t="shared" si="43"/>
        <v>0.60000000000000009</v>
      </c>
      <c r="DN14" s="75">
        <f t="shared" si="80"/>
        <v>3.9400000000000004</v>
      </c>
      <c r="DO14" s="67">
        <f t="shared" si="81"/>
        <v>7</v>
      </c>
      <c r="DP14" s="72">
        <v>2</v>
      </c>
      <c r="DQ14" s="37">
        <v>0.6</v>
      </c>
      <c r="DR14" s="38">
        <f t="shared" si="44"/>
        <v>13</v>
      </c>
      <c r="DS14" s="70">
        <v>0.1</v>
      </c>
      <c r="DT14" s="36">
        <v>1</v>
      </c>
      <c r="DU14" s="38">
        <f t="shared" si="45"/>
        <v>1</v>
      </c>
      <c r="DV14" s="37">
        <v>0.15</v>
      </c>
      <c r="DW14" s="36"/>
      <c r="DX14" s="36"/>
      <c r="DY14" s="36" t="e">
        <f t="shared" si="46"/>
        <v>#DIV/0!</v>
      </c>
      <c r="DZ14" s="38" t="e">
        <f t="shared" si="47"/>
        <v>#DIV/0!</v>
      </c>
      <c r="EA14" s="37">
        <v>0.05</v>
      </c>
      <c r="EB14" s="37">
        <f t="shared" si="48"/>
        <v>0.3</v>
      </c>
      <c r="EC14" s="75">
        <f t="shared" si="82"/>
        <v>1.45</v>
      </c>
      <c r="ED14" s="67">
        <f t="shared" si="83"/>
        <v>8</v>
      </c>
      <c r="EE14" s="79">
        <v>58</v>
      </c>
      <c r="EF14" s="79">
        <v>58</v>
      </c>
      <c r="EG14" s="80">
        <f t="shared" si="49"/>
        <v>100</v>
      </c>
      <c r="EH14" s="81">
        <f t="shared" si="50"/>
        <v>1</v>
      </c>
      <c r="EI14" s="66">
        <v>0.2</v>
      </c>
      <c r="EJ14" s="70">
        <v>71.099999999999994</v>
      </c>
      <c r="EK14" s="38">
        <f t="shared" si="51"/>
        <v>1</v>
      </c>
      <c r="EL14" s="37">
        <v>0.2</v>
      </c>
      <c r="EM14" s="36">
        <v>26</v>
      </c>
      <c r="EN14" s="37">
        <f t="shared" si="52"/>
        <v>100</v>
      </c>
      <c r="EO14" s="38">
        <f t="shared" si="53"/>
        <v>1</v>
      </c>
      <c r="EP14" s="70">
        <v>0.1</v>
      </c>
      <c r="EQ14" s="36">
        <v>1</v>
      </c>
      <c r="ER14" s="38">
        <f t="shared" si="54"/>
        <v>1</v>
      </c>
      <c r="ES14" s="37">
        <v>0.05</v>
      </c>
      <c r="ET14" s="36">
        <v>1</v>
      </c>
      <c r="EU14" s="38">
        <f t="shared" si="55"/>
        <v>1</v>
      </c>
      <c r="EV14" s="37">
        <v>0.05</v>
      </c>
      <c r="EW14" s="36">
        <v>0</v>
      </c>
      <c r="EX14" s="38">
        <f t="shared" si="56"/>
        <v>15</v>
      </c>
      <c r="EY14" s="37">
        <v>0.1</v>
      </c>
      <c r="EZ14" s="36">
        <v>0</v>
      </c>
      <c r="FA14" s="36">
        <v>14</v>
      </c>
      <c r="FB14" s="37">
        <f t="shared" si="57"/>
        <v>0</v>
      </c>
      <c r="FC14" s="38">
        <f t="shared" si="58"/>
        <v>1</v>
      </c>
      <c r="FD14" s="37">
        <v>0.05</v>
      </c>
      <c r="FE14" s="37">
        <v>28.552456839309428</v>
      </c>
      <c r="FF14" s="37">
        <v>28.364116094986809</v>
      </c>
      <c r="FG14" s="37">
        <f t="shared" si="59"/>
        <v>99.340369393139852</v>
      </c>
      <c r="FH14" s="38">
        <f t="shared" si="60"/>
        <v>14</v>
      </c>
      <c r="FI14" s="37">
        <v>0.15</v>
      </c>
      <c r="FJ14" s="36">
        <v>1</v>
      </c>
      <c r="FK14" s="37">
        <f t="shared" si="61"/>
        <v>0.65963060686015829</v>
      </c>
      <c r="FL14" s="38">
        <f t="shared" si="62"/>
        <v>8</v>
      </c>
      <c r="FM14" s="37">
        <v>0.05</v>
      </c>
      <c r="FN14" s="36">
        <v>0</v>
      </c>
      <c r="FO14" s="37">
        <f t="shared" si="63"/>
        <v>0</v>
      </c>
      <c r="FP14" s="38">
        <f t="shared" si="64"/>
        <v>8</v>
      </c>
      <c r="FQ14" s="37">
        <v>0.05</v>
      </c>
      <c r="FR14" s="39">
        <f t="shared" si="65"/>
        <v>1.0000000000000002</v>
      </c>
      <c r="FS14" s="75">
        <f t="shared" si="84"/>
        <v>5.0500000000000007</v>
      </c>
      <c r="FT14" s="67">
        <f t="shared" si="85"/>
        <v>6</v>
      </c>
      <c r="FU14" s="30">
        <v>11</v>
      </c>
      <c r="FV14" s="30">
        <v>11</v>
      </c>
      <c r="FW14" s="82">
        <f t="shared" si="66"/>
        <v>100</v>
      </c>
      <c r="FX14" s="67">
        <f t="shared" si="67"/>
        <v>1</v>
      </c>
      <c r="FY14" s="83">
        <v>0.1</v>
      </c>
      <c r="FZ14" s="66">
        <f>35/BE14*1000</f>
        <v>23.240371845949536</v>
      </c>
      <c r="GA14" s="66">
        <f>12/BF14*1000</f>
        <v>7.9155672823219003</v>
      </c>
      <c r="GB14" s="84">
        <f t="shared" si="68"/>
        <v>34.059555220505089</v>
      </c>
      <c r="GC14" s="38">
        <f t="shared" si="69"/>
        <v>1</v>
      </c>
      <c r="GD14" s="70">
        <v>0.1</v>
      </c>
      <c r="GE14" s="85">
        <v>3</v>
      </c>
      <c r="GF14" s="85">
        <v>3</v>
      </c>
      <c r="GG14" s="37">
        <f t="shared" si="70"/>
        <v>100</v>
      </c>
      <c r="GH14" s="38">
        <v>1</v>
      </c>
      <c r="GI14" s="70">
        <v>0.1</v>
      </c>
      <c r="GJ14" s="36">
        <v>2</v>
      </c>
      <c r="GK14" s="38">
        <f t="shared" si="71"/>
        <v>2</v>
      </c>
      <c r="GL14" s="70">
        <v>0.1</v>
      </c>
      <c r="GM14" s="36">
        <v>0</v>
      </c>
      <c r="GN14" s="37">
        <f t="shared" si="72"/>
        <v>0</v>
      </c>
      <c r="GO14" s="38">
        <f t="shared" si="73"/>
        <v>1</v>
      </c>
      <c r="GP14" s="70">
        <v>0.1</v>
      </c>
      <c r="GQ14" s="86">
        <f t="shared" si="74"/>
        <v>0.5</v>
      </c>
      <c r="GR14" s="75">
        <f t="shared" si="86"/>
        <v>0.6</v>
      </c>
      <c r="GS14" s="67">
        <f t="shared" si="87"/>
        <v>1</v>
      </c>
      <c r="GT14" s="87">
        <f t="shared" si="88"/>
        <v>5.1333333333333337</v>
      </c>
      <c r="GU14" s="88">
        <f t="shared" si="75"/>
        <v>8</v>
      </c>
      <c r="GV14" s="15" t="s">
        <v>11</v>
      </c>
    </row>
    <row r="15" spans="1:204" s="5" customFormat="1" ht="15.6" x14ac:dyDescent="0.3">
      <c r="A15" s="18">
        <v>10</v>
      </c>
      <c r="B15" s="19" t="s">
        <v>12</v>
      </c>
      <c r="C15" s="65">
        <v>6546.98</v>
      </c>
      <c r="D15" s="65">
        <v>5358.57</v>
      </c>
      <c r="E15" s="66">
        <f t="shared" si="0"/>
        <v>81.847966543352811</v>
      </c>
      <c r="F15" s="67">
        <f t="shared" si="1"/>
        <v>17</v>
      </c>
      <c r="G15" s="66">
        <v>0.13</v>
      </c>
      <c r="H15" s="68">
        <v>5602.86</v>
      </c>
      <c r="I15" s="69">
        <v>5358.57</v>
      </c>
      <c r="J15" s="37">
        <f t="shared" si="2"/>
        <v>95.639905334061538</v>
      </c>
      <c r="K15" s="37">
        <f>ABS(J15-K4)</f>
        <v>4.3600946659384618</v>
      </c>
      <c r="L15" s="38">
        <f t="shared" si="3"/>
        <v>12</v>
      </c>
      <c r="M15" s="70">
        <v>0.1</v>
      </c>
      <c r="N15" s="71">
        <v>4484.22</v>
      </c>
      <c r="O15" s="72">
        <f t="shared" si="4"/>
        <v>2293</v>
      </c>
      <c r="P15" s="73">
        <f t="shared" si="5"/>
        <v>1.9556127344090712</v>
      </c>
      <c r="Q15" s="38">
        <f t="shared" si="6"/>
        <v>4</v>
      </c>
      <c r="R15" s="70">
        <v>0.1</v>
      </c>
      <c r="S15" s="71">
        <v>19909.5</v>
      </c>
      <c r="T15" s="71">
        <v>19617.78</v>
      </c>
      <c r="U15" s="37">
        <f t="shared" si="7"/>
        <v>98.534769833496568</v>
      </c>
      <c r="V15" s="38">
        <f t="shared" si="8"/>
        <v>8</v>
      </c>
      <c r="W15" s="70">
        <v>0.1</v>
      </c>
      <c r="X15" s="71">
        <v>14596.71934</v>
      </c>
      <c r="Y15" s="71">
        <v>3577.3747000000003</v>
      </c>
      <c r="Z15" s="37">
        <f t="shared" si="9"/>
        <v>24.508073469610196</v>
      </c>
      <c r="AA15" s="67">
        <f t="shared" si="10"/>
        <v>14</v>
      </c>
      <c r="AB15" s="70">
        <v>0.1</v>
      </c>
      <c r="AC15" s="28">
        <v>19617.78</v>
      </c>
      <c r="AD15" s="28">
        <v>5796.9</v>
      </c>
      <c r="AE15" s="66">
        <f t="shared" si="11"/>
        <v>29.549215048797571</v>
      </c>
      <c r="AF15" s="67">
        <f t="shared" si="12"/>
        <v>3</v>
      </c>
      <c r="AG15" s="66">
        <v>0.13</v>
      </c>
      <c r="AH15" s="33">
        <v>0</v>
      </c>
      <c r="AI15" s="28">
        <v>19909.5</v>
      </c>
      <c r="AJ15" s="27">
        <f t="shared" si="13"/>
        <v>0</v>
      </c>
      <c r="AK15" s="45">
        <f t="shared" si="14"/>
        <v>1</v>
      </c>
      <c r="AL15" s="30">
        <v>0.12</v>
      </c>
      <c r="AM15" s="27">
        <v>0</v>
      </c>
      <c r="AN15" s="28">
        <v>5358.57</v>
      </c>
      <c r="AO15" s="29">
        <f t="shared" si="15"/>
        <v>0</v>
      </c>
      <c r="AP15" s="45">
        <f t="shared" si="16"/>
        <v>1</v>
      </c>
      <c r="AQ15" s="30">
        <v>0.12</v>
      </c>
      <c r="AR15" s="28">
        <v>0</v>
      </c>
      <c r="AS15" s="28">
        <v>0</v>
      </c>
      <c r="AT15" s="66">
        <v>0</v>
      </c>
      <c r="AU15" s="67">
        <f t="shared" si="17"/>
        <v>5</v>
      </c>
      <c r="AV15" s="30">
        <v>0.05</v>
      </c>
      <c r="AW15" s="28">
        <v>460905.68</v>
      </c>
      <c r="AX15" s="28">
        <v>583942.54</v>
      </c>
      <c r="AY15" s="74">
        <f t="shared" si="18"/>
        <v>126.69458532166496</v>
      </c>
      <c r="AZ15" s="67">
        <f t="shared" si="19"/>
        <v>1</v>
      </c>
      <c r="BA15" s="30">
        <v>0.05</v>
      </c>
      <c r="BB15" s="66">
        <f t="shared" si="20"/>
        <v>1</v>
      </c>
      <c r="BC15" s="75">
        <f t="shared" si="76"/>
        <v>6.94</v>
      </c>
      <c r="BD15" s="67">
        <f t="shared" si="77"/>
        <v>5</v>
      </c>
      <c r="BE15" s="72">
        <v>2344</v>
      </c>
      <c r="BF15" s="72">
        <v>2293</v>
      </c>
      <c r="BG15" s="37">
        <f t="shared" si="21"/>
        <v>97.824232081911262</v>
      </c>
      <c r="BH15" s="38">
        <f t="shared" si="22"/>
        <v>17</v>
      </c>
      <c r="BI15" s="37">
        <v>0.12</v>
      </c>
      <c r="BJ15" s="30">
        <v>21</v>
      </c>
      <c r="BK15" s="66">
        <f t="shared" si="23"/>
        <v>0.80769230769230771</v>
      </c>
      <c r="BL15" s="67">
        <f t="shared" si="24"/>
        <v>7</v>
      </c>
      <c r="BM15" s="66">
        <v>0.12</v>
      </c>
      <c r="BN15" s="28">
        <v>2646.7</v>
      </c>
      <c r="BO15" s="82">
        <v>6.7</v>
      </c>
      <c r="BP15" s="28">
        <f t="shared" si="25"/>
        <v>32919.154228855718</v>
      </c>
      <c r="BQ15" s="76">
        <f t="shared" si="26"/>
        <v>100.37674026044871</v>
      </c>
      <c r="BR15" s="70">
        <f>ABS(BQ15-BR4)</f>
        <v>0.37674026044871312</v>
      </c>
      <c r="BS15" s="67">
        <f t="shared" si="27"/>
        <v>5</v>
      </c>
      <c r="BT15" s="66">
        <v>0.15</v>
      </c>
      <c r="BU15" s="36">
        <v>1</v>
      </c>
      <c r="BV15" s="36">
        <v>4</v>
      </c>
      <c r="BW15" s="70">
        <f t="shared" si="28"/>
        <v>25</v>
      </c>
      <c r="BX15" s="38">
        <f t="shared" si="29"/>
        <v>2</v>
      </c>
      <c r="BY15" s="37">
        <v>0.11</v>
      </c>
      <c r="BZ15" s="36">
        <v>4</v>
      </c>
      <c r="CA15" s="36">
        <v>133</v>
      </c>
      <c r="CB15" s="37">
        <f t="shared" si="30"/>
        <v>3.007518796992481</v>
      </c>
      <c r="CC15" s="38">
        <f t="shared" si="31"/>
        <v>5</v>
      </c>
      <c r="CD15" s="37">
        <v>0.03</v>
      </c>
      <c r="CE15" s="36">
        <v>3</v>
      </c>
      <c r="CF15" s="36">
        <v>3</v>
      </c>
      <c r="CG15" s="37">
        <f t="shared" si="32"/>
        <v>100</v>
      </c>
      <c r="CH15" s="38">
        <f t="shared" si="33"/>
        <v>1</v>
      </c>
      <c r="CI15" s="37">
        <v>7.0000000000000007E-2</v>
      </c>
      <c r="CJ15" s="36">
        <v>0</v>
      </c>
      <c r="CK15" s="37">
        <f t="shared" si="34"/>
        <v>0</v>
      </c>
      <c r="CL15" s="38">
        <f t="shared" si="35"/>
        <v>2</v>
      </c>
      <c r="CM15" s="70">
        <v>0.1</v>
      </c>
      <c r="CN15" s="70">
        <f t="shared" si="36"/>
        <v>0.70000000000000007</v>
      </c>
      <c r="CO15" s="75">
        <f t="shared" si="78"/>
        <v>4.2700000000000005</v>
      </c>
      <c r="CP15" s="67">
        <f t="shared" si="79"/>
        <v>7</v>
      </c>
      <c r="CQ15" s="77"/>
      <c r="CR15" s="77"/>
      <c r="CS15" s="66">
        <v>100</v>
      </c>
      <c r="CT15" s="67">
        <f t="shared" si="37"/>
        <v>3</v>
      </c>
      <c r="CU15" s="66">
        <v>0.06</v>
      </c>
      <c r="CV15" s="66">
        <v>0</v>
      </c>
      <c r="CW15" s="67">
        <f t="shared" si="38"/>
        <v>1</v>
      </c>
      <c r="CX15" s="66">
        <v>0.02</v>
      </c>
      <c r="CY15" s="72"/>
      <c r="CZ15" s="72"/>
      <c r="DA15" s="78">
        <v>0</v>
      </c>
      <c r="DB15" s="38">
        <f t="shared" si="39"/>
        <v>1</v>
      </c>
      <c r="DC15" s="37">
        <v>0.02</v>
      </c>
      <c r="DD15" s="78">
        <v>0.39200000000000002</v>
      </c>
      <c r="DE15" s="38">
        <f t="shared" si="40"/>
        <v>11</v>
      </c>
      <c r="DF15" s="131">
        <v>0.2</v>
      </c>
      <c r="DG15" s="133">
        <v>110.59</v>
      </c>
      <c r="DH15" s="132">
        <f t="shared" si="41"/>
        <v>1</v>
      </c>
      <c r="DI15" s="70">
        <v>0.1</v>
      </c>
      <c r="DJ15" s="36">
        <v>6</v>
      </c>
      <c r="DK15" s="38">
        <f t="shared" si="42"/>
        <v>1</v>
      </c>
      <c r="DL15" s="70">
        <v>0.2</v>
      </c>
      <c r="DM15" s="70">
        <f t="shared" si="43"/>
        <v>0.60000000000000009</v>
      </c>
      <c r="DN15" s="75">
        <f>(CT15*CU15+CW15*CX15+DB15*DC15+DE15*DF15+DH15*DI15+DK15*DL15)</f>
        <v>2.72</v>
      </c>
      <c r="DO15" s="67">
        <f t="shared" si="81"/>
        <v>4</v>
      </c>
      <c r="DP15" s="72">
        <v>3</v>
      </c>
      <c r="DQ15" s="37">
        <v>1</v>
      </c>
      <c r="DR15" s="38">
        <f t="shared" si="44"/>
        <v>1</v>
      </c>
      <c r="DS15" s="70">
        <v>0.1</v>
      </c>
      <c r="DT15" s="36">
        <v>1</v>
      </c>
      <c r="DU15" s="38">
        <f t="shared" si="45"/>
        <v>1</v>
      </c>
      <c r="DV15" s="37">
        <v>0.15</v>
      </c>
      <c r="DW15" s="36"/>
      <c r="DX15" s="36"/>
      <c r="DY15" s="36" t="e">
        <f t="shared" si="46"/>
        <v>#DIV/0!</v>
      </c>
      <c r="DZ15" s="38" t="e">
        <f t="shared" si="47"/>
        <v>#DIV/0!</v>
      </c>
      <c r="EA15" s="37">
        <v>0.05</v>
      </c>
      <c r="EB15" s="37">
        <f t="shared" si="48"/>
        <v>0.3</v>
      </c>
      <c r="EC15" s="75">
        <f t="shared" si="82"/>
        <v>0.25</v>
      </c>
      <c r="ED15" s="67">
        <f t="shared" si="83"/>
        <v>1</v>
      </c>
      <c r="EE15" s="79">
        <v>68</v>
      </c>
      <c r="EF15" s="79">
        <v>68</v>
      </c>
      <c r="EG15" s="80">
        <f t="shared" si="49"/>
        <v>100</v>
      </c>
      <c r="EH15" s="81">
        <f t="shared" si="50"/>
        <v>1</v>
      </c>
      <c r="EI15" s="66">
        <v>0.2</v>
      </c>
      <c r="EJ15" s="70">
        <v>67.900000000000006</v>
      </c>
      <c r="EK15" s="38">
        <f t="shared" si="51"/>
        <v>3</v>
      </c>
      <c r="EL15" s="37">
        <v>0.2</v>
      </c>
      <c r="EM15" s="36">
        <v>26</v>
      </c>
      <c r="EN15" s="37">
        <f t="shared" si="52"/>
        <v>100</v>
      </c>
      <c r="EO15" s="38">
        <f t="shared" si="53"/>
        <v>1</v>
      </c>
      <c r="EP15" s="70">
        <v>0.1</v>
      </c>
      <c r="EQ15" s="36">
        <v>1</v>
      </c>
      <c r="ER15" s="38">
        <f t="shared" si="54"/>
        <v>1</v>
      </c>
      <c r="ES15" s="37">
        <v>0.05</v>
      </c>
      <c r="ET15" s="36">
        <v>1</v>
      </c>
      <c r="EU15" s="38">
        <f t="shared" si="55"/>
        <v>1</v>
      </c>
      <c r="EV15" s="37">
        <v>0.05</v>
      </c>
      <c r="EW15" s="36">
        <v>1</v>
      </c>
      <c r="EX15" s="38">
        <f t="shared" si="56"/>
        <v>10</v>
      </c>
      <c r="EY15" s="37">
        <v>0.1</v>
      </c>
      <c r="EZ15" s="36">
        <v>3</v>
      </c>
      <c r="FA15" s="36">
        <v>15</v>
      </c>
      <c r="FB15" s="37">
        <f t="shared" si="57"/>
        <v>20</v>
      </c>
      <c r="FC15" s="38">
        <f t="shared" si="58"/>
        <v>7</v>
      </c>
      <c r="FD15" s="37">
        <v>0.05</v>
      </c>
      <c r="FE15" s="37">
        <v>27.730375426621158</v>
      </c>
      <c r="FF15" s="37">
        <v>27.038813781072829</v>
      </c>
      <c r="FG15" s="37">
        <f t="shared" si="59"/>
        <v>97.506122312053407</v>
      </c>
      <c r="FH15" s="38">
        <f t="shared" si="60"/>
        <v>16</v>
      </c>
      <c r="FI15" s="37">
        <v>0.15</v>
      </c>
      <c r="FJ15" s="36">
        <v>0</v>
      </c>
      <c r="FK15" s="37">
        <f t="shared" si="61"/>
        <v>0</v>
      </c>
      <c r="FL15" s="38">
        <f t="shared" si="62"/>
        <v>13</v>
      </c>
      <c r="FM15" s="37">
        <v>0.05</v>
      </c>
      <c r="FN15" s="36">
        <v>0</v>
      </c>
      <c r="FO15" s="37">
        <f t="shared" si="63"/>
        <v>0</v>
      </c>
      <c r="FP15" s="38">
        <f t="shared" si="64"/>
        <v>8</v>
      </c>
      <c r="FQ15" s="37">
        <v>0.05</v>
      </c>
      <c r="FR15" s="39">
        <f t="shared" si="65"/>
        <v>1.0000000000000002</v>
      </c>
      <c r="FS15" s="75">
        <f t="shared" si="84"/>
        <v>5.8000000000000007</v>
      </c>
      <c r="FT15" s="67">
        <f t="shared" si="85"/>
        <v>7</v>
      </c>
      <c r="FU15" s="30">
        <v>10</v>
      </c>
      <c r="FV15" s="30">
        <v>10</v>
      </c>
      <c r="FW15" s="82">
        <f t="shared" si="66"/>
        <v>100</v>
      </c>
      <c r="FX15" s="67">
        <f t="shared" si="67"/>
        <v>1</v>
      </c>
      <c r="FY15" s="83">
        <v>0.1</v>
      </c>
      <c r="FZ15" s="66">
        <f>29/BE15*1000</f>
        <v>12.372013651877133</v>
      </c>
      <c r="GA15" s="66">
        <f>22/BF15*1000</f>
        <v>9.5944177932839079</v>
      </c>
      <c r="GB15" s="84">
        <f t="shared" si="68"/>
        <v>77.549363129163723</v>
      </c>
      <c r="GC15" s="38">
        <f t="shared" si="69"/>
        <v>8</v>
      </c>
      <c r="GD15" s="70">
        <v>0.1</v>
      </c>
      <c r="GE15" s="85">
        <v>18</v>
      </c>
      <c r="GF15" s="85">
        <v>18</v>
      </c>
      <c r="GG15" s="37">
        <f t="shared" si="70"/>
        <v>100</v>
      </c>
      <c r="GH15" s="38">
        <v>1</v>
      </c>
      <c r="GI15" s="70">
        <v>0.1</v>
      </c>
      <c r="GJ15" s="36">
        <v>0</v>
      </c>
      <c r="GK15" s="38">
        <f t="shared" si="71"/>
        <v>1</v>
      </c>
      <c r="GL15" s="70">
        <v>0.1</v>
      </c>
      <c r="GM15" s="36">
        <v>0</v>
      </c>
      <c r="GN15" s="37">
        <f t="shared" si="72"/>
        <v>0</v>
      </c>
      <c r="GO15" s="38">
        <f t="shared" si="73"/>
        <v>1</v>
      </c>
      <c r="GP15" s="70">
        <v>0.1</v>
      </c>
      <c r="GQ15" s="86">
        <f t="shared" si="74"/>
        <v>0.5</v>
      </c>
      <c r="GR15" s="75">
        <f t="shared" si="86"/>
        <v>1.2000000000000002</v>
      </c>
      <c r="GS15" s="67">
        <f t="shared" si="87"/>
        <v>2</v>
      </c>
      <c r="GT15" s="87">
        <f>(BD15*BB15+CP15*CN15+DO15*DM15+ED15*EB15+FT15*FR15+GS15*GQ15)/6</f>
        <v>3.4333333333333336</v>
      </c>
      <c r="GU15" s="88">
        <f t="shared" si="75"/>
        <v>2</v>
      </c>
      <c r="GV15" s="19" t="s">
        <v>12</v>
      </c>
    </row>
    <row r="16" spans="1:204" s="5" customFormat="1" ht="15.6" x14ac:dyDescent="0.3">
      <c r="A16" s="13">
        <v>11</v>
      </c>
      <c r="B16" s="15" t="s">
        <v>13</v>
      </c>
      <c r="C16" s="65">
        <v>69074.83</v>
      </c>
      <c r="D16" s="65">
        <v>71947.259999999995</v>
      </c>
      <c r="E16" s="66">
        <f t="shared" si="0"/>
        <v>104.15843223935548</v>
      </c>
      <c r="F16" s="67">
        <f t="shared" si="1"/>
        <v>11</v>
      </c>
      <c r="G16" s="66">
        <v>0.13</v>
      </c>
      <c r="H16" s="68">
        <v>67642.02</v>
      </c>
      <c r="I16" s="69">
        <v>71947.259999999995</v>
      </c>
      <c r="J16" s="37">
        <f t="shared" si="2"/>
        <v>106.36474191634133</v>
      </c>
      <c r="K16" s="37">
        <f>ABS(J16-K4)</f>
        <v>6.3647419163413304</v>
      </c>
      <c r="L16" s="38">
        <f t="shared" si="3"/>
        <v>14</v>
      </c>
      <c r="M16" s="70">
        <v>0.1</v>
      </c>
      <c r="N16" s="71">
        <v>5147.7799999999988</v>
      </c>
      <c r="O16" s="72">
        <f t="shared" si="4"/>
        <v>6752</v>
      </c>
      <c r="P16" s="73">
        <f t="shared" si="5"/>
        <v>0.76240817535545002</v>
      </c>
      <c r="Q16" s="38">
        <f t="shared" si="6"/>
        <v>14</v>
      </c>
      <c r="R16" s="70">
        <v>0.1</v>
      </c>
      <c r="S16" s="71">
        <v>69083.17</v>
      </c>
      <c r="T16" s="71">
        <v>68269.47</v>
      </c>
      <c r="U16" s="37">
        <f t="shared" si="7"/>
        <v>98.822144380461978</v>
      </c>
      <c r="V16" s="38">
        <f t="shared" si="8"/>
        <v>6</v>
      </c>
      <c r="W16" s="70">
        <v>0.1</v>
      </c>
      <c r="X16" s="71">
        <v>62731.368399999999</v>
      </c>
      <c r="Y16" s="71">
        <v>12186.130429999999</v>
      </c>
      <c r="Z16" s="37">
        <f t="shared" si="9"/>
        <v>19.425896072115652</v>
      </c>
      <c r="AA16" s="67">
        <f t="shared" si="10"/>
        <v>8</v>
      </c>
      <c r="AB16" s="70">
        <v>0.1</v>
      </c>
      <c r="AC16" s="28">
        <v>68269.47</v>
      </c>
      <c r="AD16" s="28">
        <v>7576.5</v>
      </c>
      <c r="AE16" s="66">
        <f t="shared" si="11"/>
        <v>11.097932941327947</v>
      </c>
      <c r="AF16" s="67">
        <f t="shared" si="12"/>
        <v>16</v>
      </c>
      <c r="AG16" s="66">
        <v>0.13</v>
      </c>
      <c r="AH16" s="33">
        <v>78.126000000000005</v>
      </c>
      <c r="AI16" s="28">
        <v>69083.17</v>
      </c>
      <c r="AJ16" s="27">
        <f t="shared" si="13"/>
        <v>0.11308977280573547</v>
      </c>
      <c r="AK16" s="45">
        <f t="shared" si="14"/>
        <v>17</v>
      </c>
      <c r="AL16" s="30">
        <v>0.12</v>
      </c>
      <c r="AM16" s="27">
        <v>2.1706669999999999</v>
      </c>
      <c r="AN16" s="28">
        <v>71947.259999999995</v>
      </c>
      <c r="AO16" s="29">
        <f t="shared" si="15"/>
        <v>3.0170252487725039E-3</v>
      </c>
      <c r="AP16" s="45">
        <f t="shared" si="16"/>
        <v>12</v>
      </c>
      <c r="AQ16" s="30">
        <v>0.12</v>
      </c>
      <c r="AR16" s="28">
        <v>0</v>
      </c>
      <c r="AS16" s="28">
        <v>0</v>
      </c>
      <c r="AT16" s="66">
        <v>0</v>
      </c>
      <c r="AU16" s="67">
        <f t="shared" si="17"/>
        <v>5</v>
      </c>
      <c r="AV16" s="30">
        <v>0.05</v>
      </c>
      <c r="AW16" s="28">
        <v>2125098.29</v>
      </c>
      <c r="AX16" s="28">
        <v>80177.47</v>
      </c>
      <c r="AY16" s="74">
        <f t="shared" si="18"/>
        <v>3.7728829003951621</v>
      </c>
      <c r="AZ16" s="67">
        <f t="shared" si="19"/>
        <v>9</v>
      </c>
      <c r="BA16" s="30">
        <v>0.05</v>
      </c>
      <c r="BB16" s="66">
        <f t="shared" si="20"/>
        <v>1</v>
      </c>
      <c r="BC16" s="75">
        <f t="shared" si="76"/>
        <v>11.889999999999999</v>
      </c>
      <c r="BD16" s="67">
        <f t="shared" si="77"/>
        <v>16</v>
      </c>
      <c r="BE16" s="72">
        <v>6615</v>
      </c>
      <c r="BF16" s="72">
        <v>6752</v>
      </c>
      <c r="BG16" s="37">
        <f t="shared" si="21"/>
        <v>102.07105064247921</v>
      </c>
      <c r="BH16" s="38">
        <f t="shared" si="22"/>
        <v>6</v>
      </c>
      <c r="BI16" s="37">
        <v>0.12</v>
      </c>
      <c r="BJ16" s="30">
        <v>21</v>
      </c>
      <c r="BK16" s="66">
        <f t="shared" si="23"/>
        <v>0.80769230769230771</v>
      </c>
      <c r="BL16" s="67">
        <f t="shared" si="24"/>
        <v>7</v>
      </c>
      <c r="BM16" s="66">
        <v>0.12</v>
      </c>
      <c r="BN16" s="28">
        <v>9718.5</v>
      </c>
      <c r="BO16" s="30">
        <v>21.9</v>
      </c>
      <c r="BP16" s="28">
        <f t="shared" si="25"/>
        <v>36980.593607305942</v>
      </c>
      <c r="BQ16" s="76">
        <f t="shared" si="26"/>
        <v>112.76083867136428</v>
      </c>
      <c r="BR16" s="70">
        <f>ABS(BQ16-BR4)</f>
        <v>12.760838671364283</v>
      </c>
      <c r="BS16" s="67">
        <f t="shared" si="27"/>
        <v>17</v>
      </c>
      <c r="BT16" s="66">
        <v>0.15</v>
      </c>
      <c r="BU16" s="36">
        <v>0</v>
      </c>
      <c r="BV16" s="36">
        <v>5</v>
      </c>
      <c r="BW16" s="70">
        <f t="shared" si="28"/>
        <v>0</v>
      </c>
      <c r="BX16" s="38">
        <f t="shared" si="29"/>
        <v>1</v>
      </c>
      <c r="BY16" s="37">
        <v>0.11</v>
      </c>
      <c r="BZ16" s="36">
        <v>3</v>
      </c>
      <c r="CA16" s="36">
        <v>372</v>
      </c>
      <c r="CB16" s="37">
        <f t="shared" si="30"/>
        <v>0.80645161290322576</v>
      </c>
      <c r="CC16" s="38">
        <f t="shared" si="31"/>
        <v>9</v>
      </c>
      <c r="CD16" s="37">
        <v>0.03</v>
      </c>
      <c r="CE16" s="36">
        <v>3</v>
      </c>
      <c r="CF16" s="36">
        <v>6</v>
      </c>
      <c r="CG16" s="37">
        <f t="shared" si="32"/>
        <v>50</v>
      </c>
      <c r="CH16" s="38">
        <f t="shared" si="33"/>
        <v>17</v>
      </c>
      <c r="CI16" s="37">
        <v>7.0000000000000007E-2</v>
      </c>
      <c r="CJ16" s="36">
        <v>0</v>
      </c>
      <c r="CK16" s="37">
        <f t="shared" si="34"/>
        <v>0</v>
      </c>
      <c r="CL16" s="38">
        <f t="shared" si="35"/>
        <v>2</v>
      </c>
      <c r="CM16" s="70">
        <v>0.1</v>
      </c>
      <c r="CN16" s="70">
        <f t="shared" si="36"/>
        <v>0.70000000000000007</v>
      </c>
      <c r="CO16" s="75">
        <f t="shared" si="78"/>
        <v>5.8800000000000008</v>
      </c>
      <c r="CP16" s="67">
        <f t="shared" si="79"/>
        <v>13</v>
      </c>
      <c r="CQ16" s="77"/>
      <c r="CR16" s="77"/>
      <c r="CS16" s="66">
        <v>97.2</v>
      </c>
      <c r="CT16" s="67">
        <f t="shared" si="37"/>
        <v>7</v>
      </c>
      <c r="CU16" s="66">
        <v>0.06</v>
      </c>
      <c r="CV16" s="66">
        <v>0</v>
      </c>
      <c r="CW16" s="67">
        <f t="shared" si="38"/>
        <v>1</v>
      </c>
      <c r="CX16" s="66">
        <v>0.02</v>
      </c>
      <c r="CY16" s="72"/>
      <c r="CZ16" s="72"/>
      <c r="DA16" s="78">
        <v>0</v>
      </c>
      <c r="DB16" s="38">
        <f t="shared" si="39"/>
        <v>1</v>
      </c>
      <c r="DC16" s="37">
        <v>0.02</v>
      </c>
      <c r="DD16" s="78">
        <v>0.32300000000000001</v>
      </c>
      <c r="DE16" s="38">
        <f t="shared" si="40"/>
        <v>8</v>
      </c>
      <c r="DF16" s="131">
        <v>0.2</v>
      </c>
      <c r="DG16" s="66">
        <v>87.3260164401471</v>
      </c>
      <c r="DH16" s="132">
        <f t="shared" si="41"/>
        <v>5</v>
      </c>
      <c r="DI16" s="70">
        <v>0.1</v>
      </c>
      <c r="DJ16" s="36">
        <v>2</v>
      </c>
      <c r="DK16" s="38">
        <f t="shared" si="42"/>
        <v>11</v>
      </c>
      <c r="DL16" s="70">
        <v>0.2</v>
      </c>
      <c r="DM16" s="70">
        <f t="shared" si="43"/>
        <v>0.60000000000000009</v>
      </c>
      <c r="DN16" s="75">
        <f t="shared" si="80"/>
        <v>4.76</v>
      </c>
      <c r="DO16" s="67">
        <f t="shared" si="81"/>
        <v>9</v>
      </c>
      <c r="DP16" s="72">
        <v>3</v>
      </c>
      <c r="DQ16" s="37">
        <v>1</v>
      </c>
      <c r="DR16" s="38">
        <f t="shared" si="44"/>
        <v>1</v>
      </c>
      <c r="DS16" s="70">
        <v>0.1</v>
      </c>
      <c r="DT16" s="36">
        <v>1</v>
      </c>
      <c r="DU16" s="38">
        <f t="shared" si="45"/>
        <v>1</v>
      </c>
      <c r="DV16" s="37">
        <v>0.15</v>
      </c>
      <c r="DW16" s="36"/>
      <c r="DX16" s="36"/>
      <c r="DY16" s="36" t="e">
        <f t="shared" si="46"/>
        <v>#DIV/0!</v>
      </c>
      <c r="DZ16" s="38" t="e">
        <f t="shared" si="47"/>
        <v>#DIV/0!</v>
      </c>
      <c r="EA16" s="37">
        <v>0.05</v>
      </c>
      <c r="EB16" s="37">
        <f t="shared" si="48"/>
        <v>0.3</v>
      </c>
      <c r="EC16" s="75">
        <f t="shared" si="82"/>
        <v>0.25</v>
      </c>
      <c r="ED16" s="67">
        <f t="shared" si="83"/>
        <v>1</v>
      </c>
      <c r="EE16" s="79">
        <v>68</v>
      </c>
      <c r="EF16" s="79">
        <v>71</v>
      </c>
      <c r="EG16" s="80">
        <f t="shared" si="49"/>
        <v>95.774647887323937</v>
      </c>
      <c r="EH16" s="81">
        <f t="shared" si="50"/>
        <v>13</v>
      </c>
      <c r="EI16" s="66">
        <v>0.2</v>
      </c>
      <c r="EJ16" s="70">
        <v>35.299999999999997</v>
      </c>
      <c r="EK16" s="38">
        <f t="shared" si="51"/>
        <v>16</v>
      </c>
      <c r="EL16" s="37">
        <v>0.2</v>
      </c>
      <c r="EM16" s="36">
        <v>26</v>
      </c>
      <c r="EN16" s="37">
        <f t="shared" si="52"/>
        <v>100</v>
      </c>
      <c r="EO16" s="38">
        <f t="shared" si="53"/>
        <v>1</v>
      </c>
      <c r="EP16" s="70">
        <v>0.1</v>
      </c>
      <c r="EQ16" s="36">
        <v>1</v>
      </c>
      <c r="ER16" s="38">
        <f t="shared" si="54"/>
        <v>1</v>
      </c>
      <c r="ES16" s="37">
        <v>0.05</v>
      </c>
      <c r="ET16" s="36">
        <v>1</v>
      </c>
      <c r="EU16" s="38">
        <f t="shared" si="55"/>
        <v>1</v>
      </c>
      <c r="EV16" s="37">
        <v>0.05</v>
      </c>
      <c r="EW16" s="36">
        <v>6</v>
      </c>
      <c r="EX16" s="38">
        <f t="shared" si="56"/>
        <v>2</v>
      </c>
      <c r="EY16" s="37">
        <v>0.1</v>
      </c>
      <c r="EZ16" s="36">
        <v>7</v>
      </c>
      <c r="FA16" s="36">
        <v>14</v>
      </c>
      <c r="FB16" s="37">
        <f t="shared" si="57"/>
        <v>50</v>
      </c>
      <c r="FC16" s="38">
        <f t="shared" si="58"/>
        <v>13</v>
      </c>
      <c r="FD16" s="37">
        <v>0.05</v>
      </c>
      <c r="FE16" s="37">
        <v>84.202569916855637</v>
      </c>
      <c r="FF16" s="37">
        <v>87.973933649289094</v>
      </c>
      <c r="FG16" s="37">
        <f t="shared" si="59"/>
        <v>104.47891761042143</v>
      </c>
      <c r="FH16" s="38">
        <f t="shared" si="60"/>
        <v>9</v>
      </c>
      <c r="FI16" s="37">
        <v>0.15</v>
      </c>
      <c r="FJ16" s="36">
        <v>3</v>
      </c>
      <c r="FK16" s="37">
        <f t="shared" si="61"/>
        <v>0.44431279620853076</v>
      </c>
      <c r="FL16" s="38">
        <f t="shared" si="62"/>
        <v>9</v>
      </c>
      <c r="FM16" s="37">
        <v>0.05</v>
      </c>
      <c r="FN16" s="36">
        <v>1</v>
      </c>
      <c r="FO16" s="37">
        <f t="shared" si="63"/>
        <v>0.1481042654028436</v>
      </c>
      <c r="FP16" s="38">
        <f t="shared" si="64"/>
        <v>7</v>
      </c>
      <c r="FQ16" s="37">
        <v>0.05</v>
      </c>
      <c r="FR16" s="39">
        <f t="shared" si="65"/>
        <v>1.0000000000000002</v>
      </c>
      <c r="FS16" s="75">
        <f t="shared" si="84"/>
        <v>9</v>
      </c>
      <c r="FT16" s="67">
        <f t="shared" si="85"/>
        <v>14</v>
      </c>
      <c r="FU16" s="30">
        <v>50</v>
      </c>
      <c r="FV16" s="30">
        <v>50</v>
      </c>
      <c r="FW16" s="82">
        <f t="shared" si="66"/>
        <v>100</v>
      </c>
      <c r="FX16" s="67">
        <f t="shared" si="67"/>
        <v>1</v>
      </c>
      <c r="FY16" s="83">
        <v>0.1</v>
      </c>
      <c r="FZ16" s="66">
        <f>141/BE16*1000</f>
        <v>21.315192743764172</v>
      </c>
      <c r="GA16" s="66">
        <f>90/BF16*1000</f>
        <v>13.329383886255926</v>
      </c>
      <c r="GB16" s="84">
        <f t="shared" si="68"/>
        <v>62.534662700413435</v>
      </c>
      <c r="GC16" s="38">
        <f t="shared" si="69"/>
        <v>2</v>
      </c>
      <c r="GD16" s="70">
        <v>0.1</v>
      </c>
      <c r="GE16" s="85">
        <v>38</v>
      </c>
      <c r="GF16" s="85">
        <v>38</v>
      </c>
      <c r="GG16" s="37">
        <f t="shared" si="70"/>
        <v>100</v>
      </c>
      <c r="GH16" s="38">
        <v>1</v>
      </c>
      <c r="GI16" s="70">
        <v>0.1</v>
      </c>
      <c r="GJ16" s="36">
        <v>9</v>
      </c>
      <c r="GK16" s="38">
        <f t="shared" si="71"/>
        <v>9</v>
      </c>
      <c r="GL16" s="70">
        <v>0.1</v>
      </c>
      <c r="GM16" s="36">
        <v>0</v>
      </c>
      <c r="GN16" s="37">
        <f t="shared" si="72"/>
        <v>0</v>
      </c>
      <c r="GO16" s="38">
        <f t="shared" si="73"/>
        <v>1</v>
      </c>
      <c r="GP16" s="70">
        <v>0.1</v>
      </c>
      <c r="GQ16" s="86">
        <f t="shared" si="74"/>
        <v>0.5</v>
      </c>
      <c r="GR16" s="75">
        <f t="shared" si="86"/>
        <v>1.4000000000000001</v>
      </c>
      <c r="GS16" s="67">
        <f t="shared" si="87"/>
        <v>3</v>
      </c>
      <c r="GT16" s="87">
        <f t="shared" si="88"/>
        <v>7.7166666666666677</v>
      </c>
      <c r="GU16" s="88">
        <f t="shared" si="75"/>
        <v>14</v>
      </c>
      <c r="GV16" s="15" t="s">
        <v>13</v>
      </c>
    </row>
    <row r="17" spans="1:204" s="5" customFormat="1" ht="15.6" x14ac:dyDescent="0.3">
      <c r="A17" s="18">
        <v>12</v>
      </c>
      <c r="B17" s="19" t="s">
        <v>14</v>
      </c>
      <c r="C17" s="65">
        <v>39642.25</v>
      </c>
      <c r="D17" s="65">
        <v>43505.760000000002</v>
      </c>
      <c r="E17" s="66">
        <f t="shared" si="0"/>
        <v>109.74594025313903</v>
      </c>
      <c r="F17" s="67">
        <f t="shared" si="1"/>
        <v>6</v>
      </c>
      <c r="G17" s="66">
        <v>0.13</v>
      </c>
      <c r="H17" s="68">
        <v>42662.1</v>
      </c>
      <c r="I17" s="69">
        <v>43505.760000000002</v>
      </c>
      <c r="J17" s="37">
        <f t="shared" si="2"/>
        <v>101.97753978355497</v>
      </c>
      <c r="K17" s="37">
        <f>ABS(J17-K4)</f>
        <v>1.977539783554974</v>
      </c>
      <c r="L17" s="38">
        <f t="shared" si="3"/>
        <v>4</v>
      </c>
      <c r="M17" s="70">
        <v>0.1</v>
      </c>
      <c r="N17" s="71">
        <v>10628.050000000001</v>
      </c>
      <c r="O17" s="72">
        <f t="shared" si="4"/>
        <v>10105</v>
      </c>
      <c r="P17" s="73">
        <f t="shared" si="5"/>
        <v>1.0517615042058388</v>
      </c>
      <c r="Q17" s="38">
        <f t="shared" si="6"/>
        <v>7</v>
      </c>
      <c r="R17" s="70">
        <v>0.1</v>
      </c>
      <c r="S17" s="71">
        <v>60525.13</v>
      </c>
      <c r="T17" s="71">
        <v>58845.86</v>
      </c>
      <c r="U17" s="37">
        <f t="shared" si="7"/>
        <v>97.225499556960898</v>
      </c>
      <c r="V17" s="38">
        <f t="shared" si="8"/>
        <v>14</v>
      </c>
      <c r="W17" s="70">
        <v>0.1</v>
      </c>
      <c r="X17" s="71">
        <v>47527.653579999998</v>
      </c>
      <c r="Y17" s="71">
        <v>9948.0925299999999</v>
      </c>
      <c r="Z17" s="37">
        <f t="shared" si="9"/>
        <v>20.931166974727809</v>
      </c>
      <c r="AA17" s="67">
        <f t="shared" si="10"/>
        <v>12</v>
      </c>
      <c r="AB17" s="70">
        <v>0.1</v>
      </c>
      <c r="AC17" s="28">
        <v>58845.86</v>
      </c>
      <c r="AD17" s="28">
        <v>11916.7</v>
      </c>
      <c r="AE17" s="66">
        <f t="shared" si="11"/>
        <v>20.250702428344152</v>
      </c>
      <c r="AF17" s="67">
        <f t="shared" si="12"/>
        <v>8</v>
      </c>
      <c r="AG17" s="66">
        <v>0.13</v>
      </c>
      <c r="AH17" s="33">
        <v>0</v>
      </c>
      <c r="AI17" s="28">
        <v>60525.13</v>
      </c>
      <c r="AJ17" s="27">
        <f t="shared" si="13"/>
        <v>0</v>
      </c>
      <c r="AK17" s="45">
        <f t="shared" si="14"/>
        <v>1</v>
      </c>
      <c r="AL17" s="30">
        <v>0.12</v>
      </c>
      <c r="AM17" s="27">
        <v>0</v>
      </c>
      <c r="AN17" s="28">
        <v>43505.760000000002</v>
      </c>
      <c r="AO17" s="29">
        <f t="shared" si="15"/>
        <v>0</v>
      </c>
      <c r="AP17" s="45">
        <f t="shared" si="16"/>
        <v>1</v>
      </c>
      <c r="AQ17" s="30">
        <v>0.12</v>
      </c>
      <c r="AR17" s="28">
        <v>23933</v>
      </c>
      <c r="AS17" s="28">
        <v>14</v>
      </c>
      <c r="AT17" s="66">
        <f>AS17/AR17*100</f>
        <v>5.8496636443404505E-2</v>
      </c>
      <c r="AU17" s="67">
        <f t="shared" si="17"/>
        <v>4</v>
      </c>
      <c r="AV17" s="30">
        <v>0.05</v>
      </c>
      <c r="AW17" s="28">
        <v>1832533.77</v>
      </c>
      <c r="AX17" s="28">
        <v>3219.46</v>
      </c>
      <c r="AY17" s="74">
        <f t="shared" si="18"/>
        <v>0.17568352914991575</v>
      </c>
      <c r="AZ17" s="67">
        <f t="shared" si="19"/>
        <v>10</v>
      </c>
      <c r="BA17" s="30">
        <v>0.05</v>
      </c>
      <c r="BB17" s="66">
        <f t="shared" si="20"/>
        <v>1</v>
      </c>
      <c r="BC17" s="75">
        <f t="shared" si="76"/>
        <v>6.4600000000000009</v>
      </c>
      <c r="BD17" s="67">
        <f t="shared" si="77"/>
        <v>3</v>
      </c>
      <c r="BE17" s="72">
        <v>10113</v>
      </c>
      <c r="BF17" s="72">
        <v>10105</v>
      </c>
      <c r="BG17" s="37">
        <f t="shared" si="21"/>
        <v>99.920893898941955</v>
      </c>
      <c r="BH17" s="38">
        <f t="shared" si="22"/>
        <v>12</v>
      </c>
      <c r="BI17" s="37">
        <v>0.12</v>
      </c>
      <c r="BJ17" s="30">
        <v>24</v>
      </c>
      <c r="BK17" s="66">
        <f t="shared" si="23"/>
        <v>0.92307692307692313</v>
      </c>
      <c r="BL17" s="67">
        <f t="shared" si="24"/>
        <v>3</v>
      </c>
      <c r="BM17" s="66">
        <v>0.12</v>
      </c>
      <c r="BN17" s="28">
        <v>9447.9</v>
      </c>
      <c r="BO17" s="30">
        <v>24</v>
      </c>
      <c r="BP17" s="28">
        <f t="shared" si="25"/>
        <v>32805.208333333336</v>
      </c>
      <c r="BQ17" s="76">
        <f t="shared" si="26"/>
        <v>100.02929762935679</v>
      </c>
      <c r="BR17" s="70">
        <f>ABS(BQ17-BR4)</f>
        <v>2.9297629356790367E-2</v>
      </c>
      <c r="BS17" s="67">
        <f t="shared" si="27"/>
        <v>2</v>
      </c>
      <c r="BT17" s="66">
        <v>0.15</v>
      </c>
      <c r="BU17" s="36">
        <v>25</v>
      </c>
      <c r="BV17" s="36">
        <v>22</v>
      </c>
      <c r="BW17" s="70">
        <f t="shared" si="28"/>
        <v>113.63636363636364</v>
      </c>
      <c r="BX17" s="38">
        <f t="shared" si="29"/>
        <v>11</v>
      </c>
      <c r="BY17" s="37">
        <v>0.11</v>
      </c>
      <c r="BZ17" s="36">
        <v>27</v>
      </c>
      <c r="CA17" s="36">
        <v>395</v>
      </c>
      <c r="CB17" s="37">
        <f t="shared" si="30"/>
        <v>6.8354430379746836</v>
      </c>
      <c r="CC17" s="38">
        <f t="shared" si="31"/>
        <v>1</v>
      </c>
      <c r="CD17" s="37">
        <v>0.03</v>
      </c>
      <c r="CE17" s="36">
        <v>7</v>
      </c>
      <c r="CF17" s="36">
        <v>7</v>
      </c>
      <c r="CG17" s="37">
        <f t="shared" si="32"/>
        <v>100</v>
      </c>
      <c r="CH17" s="38">
        <f t="shared" si="33"/>
        <v>1</v>
      </c>
      <c r="CI17" s="37">
        <v>7.0000000000000007E-2</v>
      </c>
      <c r="CJ17" s="36">
        <v>4</v>
      </c>
      <c r="CK17" s="37">
        <f t="shared" si="34"/>
        <v>0.39584364176150416</v>
      </c>
      <c r="CL17" s="38">
        <f t="shared" si="35"/>
        <v>1</v>
      </c>
      <c r="CM17" s="70">
        <v>0.1</v>
      </c>
      <c r="CN17" s="70">
        <f t="shared" si="36"/>
        <v>0.70000000000000007</v>
      </c>
      <c r="CO17" s="75">
        <f t="shared" si="78"/>
        <v>3.5099999999999993</v>
      </c>
      <c r="CP17" s="67">
        <f t="shared" si="79"/>
        <v>2</v>
      </c>
      <c r="CQ17" s="77"/>
      <c r="CR17" s="77"/>
      <c r="CS17" s="66">
        <v>89.2</v>
      </c>
      <c r="CT17" s="67">
        <f t="shared" si="37"/>
        <v>16</v>
      </c>
      <c r="CU17" s="66">
        <v>0.06</v>
      </c>
      <c r="CV17" s="66">
        <v>0</v>
      </c>
      <c r="CW17" s="67">
        <f t="shared" si="38"/>
        <v>1</v>
      </c>
      <c r="CX17" s="66">
        <v>0.02</v>
      </c>
      <c r="CY17" s="72"/>
      <c r="CZ17" s="72"/>
      <c r="DA17" s="78">
        <v>0</v>
      </c>
      <c r="DB17" s="38">
        <f t="shared" si="39"/>
        <v>1</v>
      </c>
      <c r="DC17" s="37">
        <v>0.02</v>
      </c>
      <c r="DD17" s="78">
        <v>1.736</v>
      </c>
      <c r="DE17" s="38">
        <f t="shared" si="40"/>
        <v>16</v>
      </c>
      <c r="DF17" s="70">
        <v>0.2</v>
      </c>
      <c r="DG17" s="66">
        <v>62.874640012647397</v>
      </c>
      <c r="DH17" s="38">
        <f t="shared" si="41"/>
        <v>15</v>
      </c>
      <c r="DI17" s="70">
        <v>0.1</v>
      </c>
      <c r="DJ17" s="36">
        <v>4</v>
      </c>
      <c r="DK17" s="38">
        <f t="shared" si="42"/>
        <v>5</v>
      </c>
      <c r="DL17" s="70">
        <v>0.2</v>
      </c>
      <c r="DM17" s="70">
        <f t="shared" si="43"/>
        <v>0.60000000000000009</v>
      </c>
      <c r="DN17" s="75">
        <f t="shared" si="80"/>
        <v>6.7</v>
      </c>
      <c r="DO17" s="67">
        <f t="shared" si="81"/>
        <v>14</v>
      </c>
      <c r="DP17" s="72">
        <v>3</v>
      </c>
      <c r="DQ17" s="37">
        <v>1</v>
      </c>
      <c r="DR17" s="38">
        <f t="shared" si="44"/>
        <v>1</v>
      </c>
      <c r="DS17" s="70">
        <v>0.1</v>
      </c>
      <c r="DT17" s="36">
        <v>1</v>
      </c>
      <c r="DU17" s="38">
        <f t="shared" si="45"/>
        <v>1</v>
      </c>
      <c r="DV17" s="37">
        <v>0.15</v>
      </c>
      <c r="DW17" s="36"/>
      <c r="DX17" s="36"/>
      <c r="DY17" s="36" t="e">
        <f t="shared" si="46"/>
        <v>#DIV/0!</v>
      </c>
      <c r="DZ17" s="38" t="e">
        <f t="shared" si="47"/>
        <v>#DIV/0!</v>
      </c>
      <c r="EA17" s="37">
        <v>0.05</v>
      </c>
      <c r="EB17" s="37">
        <f t="shared" si="48"/>
        <v>0.3</v>
      </c>
      <c r="EC17" s="75">
        <f t="shared" si="82"/>
        <v>0.25</v>
      </c>
      <c r="ED17" s="67">
        <f t="shared" si="83"/>
        <v>1</v>
      </c>
      <c r="EE17" s="79">
        <v>75</v>
      </c>
      <c r="EF17" s="79">
        <v>75</v>
      </c>
      <c r="EG17" s="80">
        <f t="shared" si="49"/>
        <v>100</v>
      </c>
      <c r="EH17" s="81">
        <f t="shared" si="50"/>
        <v>1</v>
      </c>
      <c r="EI17" s="66">
        <v>0.2</v>
      </c>
      <c r="EJ17" s="90">
        <v>51.7</v>
      </c>
      <c r="EK17" s="38">
        <f t="shared" si="51"/>
        <v>7</v>
      </c>
      <c r="EL17" s="37">
        <v>0.2</v>
      </c>
      <c r="EM17" s="36">
        <v>26</v>
      </c>
      <c r="EN17" s="37">
        <f t="shared" si="52"/>
        <v>100</v>
      </c>
      <c r="EO17" s="38">
        <f t="shared" si="53"/>
        <v>1</v>
      </c>
      <c r="EP17" s="70">
        <v>0.1</v>
      </c>
      <c r="EQ17" s="36">
        <v>1</v>
      </c>
      <c r="ER17" s="38">
        <f t="shared" si="54"/>
        <v>1</v>
      </c>
      <c r="ES17" s="37">
        <v>0.05</v>
      </c>
      <c r="ET17" s="36">
        <v>1</v>
      </c>
      <c r="EU17" s="38">
        <f t="shared" si="55"/>
        <v>1</v>
      </c>
      <c r="EV17" s="37">
        <v>0.05</v>
      </c>
      <c r="EW17" s="36">
        <v>6</v>
      </c>
      <c r="EX17" s="38">
        <f t="shared" si="56"/>
        <v>2</v>
      </c>
      <c r="EY17" s="37">
        <v>0.1</v>
      </c>
      <c r="EZ17" s="36">
        <v>12</v>
      </c>
      <c r="FA17" s="36">
        <v>16</v>
      </c>
      <c r="FB17" s="37">
        <f t="shared" si="57"/>
        <v>75</v>
      </c>
      <c r="FC17" s="38">
        <f t="shared" si="58"/>
        <v>15</v>
      </c>
      <c r="FD17" s="37">
        <v>0.05</v>
      </c>
      <c r="FE17" s="37">
        <v>26.896074359734992</v>
      </c>
      <c r="FF17" s="37">
        <v>35.428005937654625</v>
      </c>
      <c r="FG17" s="37">
        <f t="shared" si="59"/>
        <v>131.72184707628722</v>
      </c>
      <c r="FH17" s="38">
        <f t="shared" si="60"/>
        <v>2</v>
      </c>
      <c r="FI17" s="37">
        <v>0.15</v>
      </c>
      <c r="FJ17" s="36">
        <v>145</v>
      </c>
      <c r="FK17" s="37">
        <f t="shared" si="61"/>
        <v>14.349332013854529</v>
      </c>
      <c r="FL17" s="38">
        <f t="shared" si="62"/>
        <v>1</v>
      </c>
      <c r="FM17" s="37">
        <v>0.05</v>
      </c>
      <c r="FN17" s="36">
        <v>157</v>
      </c>
      <c r="FO17" s="37">
        <f t="shared" si="63"/>
        <v>15.53686293913904</v>
      </c>
      <c r="FP17" s="38">
        <f t="shared" si="64"/>
        <v>1</v>
      </c>
      <c r="FQ17" s="37">
        <v>0.05</v>
      </c>
      <c r="FR17" s="39">
        <f t="shared" si="65"/>
        <v>1.0000000000000002</v>
      </c>
      <c r="FS17" s="75">
        <f t="shared" si="84"/>
        <v>3.15</v>
      </c>
      <c r="FT17" s="67">
        <f t="shared" si="85"/>
        <v>1</v>
      </c>
      <c r="FU17" s="30">
        <v>61</v>
      </c>
      <c r="FV17" s="30">
        <v>61</v>
      </c>
      <c r="FW17" s="82">
        <f t="shared" si="66"/>
        <v>100</v>
      </c>
      <c r="FX17" s="67">
        <f t="shared" si="67"/>
        <v>1</v>
      </c>
      <c r="FY17" s="83">
        <v>0.1</v>
      </c>
      <c r="FZ17" s="66">
        <f>142/BE17*1000</f>
        <v>14.041332937802828</v>
      </c>
      <c r="GA17" s="66">
        <f>104/BF17*1000</f>
        <v>10.291934685799109</v>
      </c>
      <c r="GB17" s="84">
        <f t="shared" si="68"/>
        <v>73.297419350342523</v>
      </c>
      <c r="GC17" s="38">
        <f t="shared" si="69"/>
        <v>5</v>
      </c>
      <c r="GD17" s="70">
        <v>0.1</v>
      </c>
      <c r="GE17" s="85">
        <v>52</v>
      </c>
      <c r="GF17" s="85">
        <v>52</v>
      </c>
      <c r="GG17" s="37">
        <f t="shared" si="70"/>
        <v>100</v>
      </c>
      <c r="GH17" s="38">
        <v>1</v>
      </c>
      <c r="GI17" s="70">
        <v>0.1</v>
      </c>
      <c r="GJ17" s="36">
        <v>32</v>
      </c>
      <c r="GK17" s="38">
        <f t="shared" si="71"/>
        <v>17</v>
      </c>
      <c r="GL17" s="70">
        <v>0.1</v>
      </c>
      <c r="GM17" s="36">
        <v>2</v>
      </c>
      <c r="GN17" s="37">
        <f t="shared" si="72"/>
        <v>0.19792182088075208</v>
      </c>
      <c r="GO17" s="38">
        <f t="shared" si="73"/>
        <v>11</v>
      </c>
      <c r="GP17" s="70">
        <v>0.1</v>
      </c>
      <c r="GQ17" s="86">
        <f t="shared" si="74"/>
        <v>0.5</v>
      </c>
      <c r="GR17" s="75">
        <f t="shared" si="86"/>
        <v>3.5000000000000004</v>
      </c>
      <c r="GS17" s="67">
        <f t="shared" si="87"/>
        <v>11</v>
      </c>
      <c r="GT17" s="87">
        <f t="shared" si="88"/>
        <v>3.2666666666666671</v>
      </c>
      <c r="GU17" s="88">
        <f t="shared" si="75"/>
        <v>1</v>
      </c>
      <c r="GV17" s="19" t="s">
        <v>14</v>
      </c>
    </row>
    <row r="18" spans="1:204" s="5" customFormat="1" ht="15.6" x14ac:dyDescent="0.3">
      <c r="A18" s="13">
        <v>13</v>
      </c>
      <c r="B18" s="15" t="s">
        <v>15</v>
      </c>
      <c r="C18" s="65">
        <v>31487.119999999999</v>
      </c>
      <c r="D18" s="65">
        <v>33429.449999999997</v>
      </c>
      <c r="E18" s="66">
        <f t="shared" si="0"/>
        <v>106.16864927627549</v>
      </c>
      <c r="F18" s="67">
        <f t="shared" si="1"/>
        <v>9</v>
      </c>
      <c r="G18" s="66">
        <v>0.13</v>
      </c>
      <c r="H18" s="68">
        <v>33017.18</v>
      </c>
      <c r="I18" s="69">
        <v>33429.449999999997</v>
      </c>
      <c r="J18" s="37">
        <f t="shared" si="2"/>
        <v>101.24865297399717</v>
      </c>
      <c r="K18" s="37">
        <f>ABS(J18-K4)</f>
        <v>1.2486529739971672</v>
      </c>
      <c r="L18" s="38">
        <f t="shared" si="3"/>
        <v>3</v>
      </c>
      <c r="M18" s="70">
        <v>0.1</v>
      </c>
      <c r="N18" s="71">
        <v>4725.05</v>
      </c>
      <c r="O18" s="72">
        <f t="shared" si="4"/>
        <v>5801</v>
      </c>
      <c r="P18" s="73">
        <f t="shared" si="5"/>
        <v>0.81452335804171694</v>
      </c>
      <c r="Q18" s="38">
        <f t="shared" si="6"/>
        <v>13</v>
      </c>
      <c r="R18" s="70">
        <v>0.1</v>
      </c>
      <c r="S18" s="71">
        <v>31519.31</v>
      </c>
      <c r="T18" s="71">
        <v>31193.8</v>
      </c>
      <c r="U18" s="37">
        <f t="shared" si="7"/>
        <v>98.967268001742411</v>
      </c>
      <c r="V18" s="38">
        <f t="shared" si="8"/>
        <v>5</v>
      </c>
      <c r="W18" s="70">
        <v>0.1</v>
      </c>
      <c r="X18" s="71">
        <v>26671.008710000002</v>
      </c>
      <c r="Y18" s="71">
        <v>9710.3618800000004</v>
      </c>
      <c r="Z18" s="37">
        <f t="shared" si="9"/>
        <v>36.407928869818882</v>
      </c>
      <c r="AA18" s="67">
        <f t="shared" si="10"/>
        <v>16</v>
      </c>
      <c r="AB18" s="70">
        <v>0.1</v>
      </c>
      <c r="AC18" s="28">
        <v>31193.8</v>
      </c>
      <c r="AD18" s="28">
        <v>5909.4000000000005</v>
      </c>
      <c r="AE18" s="66">
        <f t="shared" si="11"/>
        <v>18.944149157845473</v>
      </c>
      <c r="AF18" s="67">
        <f t="shared" si="12"/>
        <v>12</v>
      </c>
      <c r="AG18" s="66">
        <v>0.13</v>
      </c>
      <c r="AH18" s="33">
        <v>0.2</v>
      </c>
      <c r="AI18" s="28">
        <v>31519.31</v>
      </c>
      <c r="AJ18" s="27">
        <f t="shared" si="13"/>
        <v>6.3453165694299775E-4</v>
      </c>
      <c r="AK18" s="45">
        <f t="shared" si="14"/>
        <v>15</v>
      </c>
      <c r="AL18" s="30">
        <v>0.12</v>
      </c>
      <c r="AM18" s="27">
        <v>1.8835299999999999</v>
      </c>
      <c r="AN18" s="28">
        <v>33429.449999999997</v>
      </c>
      <c r="AO18" s="29">
        <f t="shared" si="15"/>
        <v>5.6343433708900392E-3</v>
      </c>
      <c r="AP18" s="45">
        <f t="shared" si="16"/>
        <v>15</v>
      </c>
      <c r="AQ18" s="30">
        <v>0.12</v>
      </c>
      <c r="AR18" s="28">
        <v>13971</v>
      </c>
      <c r="AS18" s="28">
        <v>259</v>
      </c>
      <c r="AT18" s="66">
        <f>AS18/AR18*100</f>
        <v>1.8538400973444995</v>
      </c>
      <c r="AU18" s="67">
        <f t="shared" si="17"/>
        <v>1</v>
      </c>
      <c r="AV18" s="30">
        <v>0.05</v>
      </c>
      <c r="AW18" s="28">
        <v>1428749.22</v>
      </c>
      <c r="AX18" s="28">
        <v>117127.11</v>
      </c>
      <c r="AY18" s="74">
        <f t="shared" si="18"/>
        <v>8.1978774413609141</v>
      </c>
      <c r="AZ18" s="67">
        <f t="shared" si="19"/>
        <v>7</v>
      </c>
      <c r="BA18" s="30">
        <v>0.05</v>
      </c>
      <c r="BB18" s="66">
        <f t="shared" si="20"/>
        <v>1</v>
      </c>
      <c r="BC18" s="75">
        <f t="shared" si="76"/>
        <v>10.430000000000001</v>
      </c>
      <c r="BD18" s="67">
        <f t="shared" si="77"/>
        <v>14</v>
      </c>
      <c r="BE18" s="72">
        <v>5849</v>
      </c>
      <c r="BF18" s="72">
        <v>5801</v>
      </c>
      <c r="BG18" s="37">
        <f t="shared" si="21"/>
        <v>99.179346896905457</v>
      </c>
      <c r="BH18" s="38">
        <f t="shared" si="22"/>
        <v>16</v>
      </c>
      <c r="BI18" s="37">
        <v>0.12</v>
      </c>
      <c r="BJ18" s="30">
        <v>21</v>
      </c>
      <c r="BK18" s="66">
        <f t="shared" si="23"/>
        <v>0.80769230769230771</v>
      </c>
      <c r="BL18" s="67">
        <f t="shared" si="24"/>
        <v>7</v>
      </c>
      <c r="BM18" s="66">
        <v>0.12</v>
      </c>
      <c r="BN18" s="28">
        <v>3559</v>
      </c>
      <c r="BO18" s="30">
        <v>9.1</v>
      </c>
      <c r="BP18" s="28">
        <f t="shared" si="25"/>
        <v>32591.575091575094</v>
      </c>
      <c r="BQ18" s="76">
        <f t="shared" si="26"/>
        <v>99.377889386305156</v>
      </c>
      <c r="BR18" s="70">
        <f>ABS(BQ18-BR4)</f>
        <v>0.62211061369484355</v>
      </c>
      <c r="BS18" s="67">
        <f t="shared" si="27"/>
        <v>7</v>
      </c>
      <c r="BT18" s="66">
        <v>0.15</v>
      </c>
      <c r="BU18" s="36">
        <v>5</v>
      </c>
      <c r="BV18" s="91">
        <v>0.1</v>
      </c>
      <c r="BW18" s="70">
        <f t="shared" si="28"/>
        <v>5000</v>
      </c>
      <c r="BX18" s="38">
        <f t="shared" si="29"/>
        <v>16</v>
      </c>
      <c r="BY18" s="37">
        <v>0.11</v>
      </c>
      <c r="BZ18" s="36">
        <v>0</v>
      </c>
      <c r="CA18" s="36">
        <v>270</v>
      </c>
      <c r="CB18" s="37">
        <f t="shared" si="30"/>
        <v>0</v>
      </c>
      <c r="CC18" s="38">
        <f t="shared" si="31"/>
        <v>11</v>
      </c>
      <c r="CD18" s="37">
        <v>0.03</v>
      </c>
      <c r="CE18" s="36">
        <v>2</v>
      </c>
      <c r="CF18" s="36">
        <v>2</v>
      </c>
      <c r="CG18" s="37">
        <f t="shared" si="32"/>
        <v>100</v>
      </c>
      <c r="CH18" s="38">
        <f t="shared" si="33"/>
        <v>1</v>
      </c>
      <c r="CI18" s="37">
        <v>7.0000000000000007E-2</v>
      </c>
      <c r="CJ18" s="36">
        <v>0</v>
      </c>
      <c r="CK18" s="37">
        <f t="shared" si="34"/>
        <v>0</v>
      </c>
      <c r="CL18" s="38">
        <f t="shared" si="35"/>
        <v>2</v>
      </c>
      <c r="CM18" s="70">
        <v>0.1</v>
      </c>
      <c r="CN18" s="70">
        <f t="shared" si="36"/>
        <v>0.70000000000000007</v>
      </c>
      <c r="CO18" s="75">
        <f t="shared" si="78"/>
        <v>6.17</v>
      </c>
      <c r="CP18" s="67">
        <f t="shared" si="79"/>
        <v>15</v>
      </c>
      <c r="CQ18" s="77"/>
      <c r="CR18" s="77"/>
      <c r="CS18" s="66">
        <v>97.6</v>
      </c>
      <c r="CT18" s="67">
        <f t="shared" si="37"/>
        <v>6</v>
      </c>
      <c r="CU18" s="66">
        <v>0.06</v>
      </c>
      <c r="CV18" s="66">
        <v>0</v>
      </c>
      <c r="CW18" s="67">
        <f t="shared" si="38"/>
        <v>1</v>
      </c>
      <c r="CX18" s="66">
        <v>0.02</v>
      </c>
      <c r="CY18" s="72"/>
      <c r="CZ18" s="72"/>
      <c r="DA18" s="78">
        <v>7.7999999999999999E-4</v>
      </c>
      <c r="DB18" s="38">
        <f t="shared" si="39"/>
        <v>12</v>
      </c>
      <c r="DC18" s="37">
        <v>0.02</v>
      </c>
      <c r="DD18" s="78">
        <v>0.14499999999999999</v>
      </c>
      <c r="DE18" s="38">
        <f t="shared" si="40"/>
        <v>6</v>
      </c>
      <c r="DF18" s="70">
        <v>0.2</v>
      </c>
      <c r="DG18" s="66">
        <v>91.758042229316345</v>
      </c>
      <c r="DH18" s="38">
        <f t="shared" si="41"/>
        <v>3</v>
      </c>
      <c r="DI18" s="70">
        <v>0.1</v>
      </c>
      <c r="DJ18" s="36">
        <v>4</v>
      </c>
      <c r="DK18" s="38">
        <f t="shared" si="42"/>
        <v>5</v>
      </c>
      <c r="DL18" s="70">
        <v>0.2</v>
      </c>
      <c r="DM18" s="70">
        <f t="shared" si="43"/>
        <v>0.60000000000000009</v>
      </c>
      <c r="DN18" s="75">
        <f t="shared" si="80"/>
        <v>3.12</v>
      </c>
      <c r="DO18" s="67">
        <f t="shared" si="81"/>
        <v>5</v>
      </c>
      <c r="DP18" s="72">
        <v>3</v>
      </c>
      <c r="DQ18" s="37">
        <v>1</v>
      </c>
      <c r="DR18" s="38">
        <f t="shared" si="44"/>
        <v>1</v>
      </c>
      <c r="DS18" s="70">
        <v>0.1</v>
      </c>
      <c r="DT18" s="36">
        <v>0</v>
      </c>
      <c r="DU18" s="38">
        <f t="shared" si="45"/>
        <v>11</v>
      </c>
      <c r="DV18" s="37">
        <v>0.15</v>
      </c>
      <c r="DW18" s="36"/>
      <c r="DX18" s="36"/>
      <c r="DY18" s="36" t="e">
        <f t="shared" si="46"/>
        <v>#DIV/0!</v>
      </c>
      <c r="DZ18" s="38" t="e">
        <f t="shared" si="47"/>
        <v>#DIV/0!</v>
      </c>
      <c r="EA18" s="37">
        <v>0.05</v>
      </c>
      <c r="EB18" s="37">
        <f t="shared" si="48"/>
        <v>0.3</v>
      </c>
      <c r="EC18" s="75">
        <f t="shared" si="82"/>
        <v>1.75</v>
      </c>
      <c r="ED18" s="67">
        <f t="shared" si="83"/>
        <v>11</v>
      </c>
      <c r="EE18" s="79">
        <v>72</v>
      </c>
      <c r="EF18" s="79">
        <v>77</v>
      </c>
      <c r="EG18" s="80">
        <f t="shared" si="49"/>
        <v>93.506493506493499</v>
      </c>
      <c r="EH18" s="81">
        <f t="shared" si="50"/>
        <v>15</v>
      </c>
      <c r="EI18" s="66">
        <v>0.2</v>
      </c>
      <c r="EJ18" s="70">
        <v>47.1</v>
      </c>
      <c r="EK18" s="38">
        <f t="shared" si="51"/>
        <v>12</v>
      </c>
      <c r="EL18" s="37">
        <v>0.2</v>
      </c>
      <c r="EM18" s="36">
        <v>26</v>
      </c>
      <c r="EN18" s="37">
        <f t="shared" si="52"/>
        <v>100</v>
      </c>
      <c r="EO18" s="38">
        <f t="shared" si="53"/>
        <v>1</v>
      </c>
      <c r="EP18" s="70">
        <v>0.1</v>
      </c>
      <c r="EQ18" s="36">
        <v>1</v>
      </c>
      <c r="ER18" s="38">
        <f t="shared" si="54"/>
        <v>1</v>
      </c>
      <c r="ES18" s="37">
        <v>0.05</v>
      </c>
      <c r="ET18" s="36">
        <v>1</v>
      </c>
      <c r="EU18" s="38">
        <f t="shared" si="55"/>
        <v>1</v>
      </c>
      <c r="EV18" s="37">
        <v>0.05</v>
      </c>
      <c r="EW18" s="36">
        <v>2</v>
      </c>
      <c r="EX18" s="38">
        <f t="shared" si="56"/>
        <v>8</v>
      </c>
      <c r="EY18" s="37">
        <v>0.1</v>
      </c>
      <c r="EZ18" s="36">
        <v>2</v>
      </c>
      <c r="FA18" s="36">
        <v>11</v>
      </c>
      <c r="FB18" s="37">
        <f t="shared" si="57"/>
        <v>18.181818181818183</v>
      </c>
      <c r="FC18" s="38">
        <f t="shared" si="58"/>
        <v>6</v>
      </c>
      <c r="FD18" s="37">
        <v>0.05</v>
      </c>
      <c r="FE18" s="37">
        <v>31.116430159001538</v>
      </c>
      <c r="FF18" s="37">
        <v>33.097741768660576</v>
      </c>
      <c r="FG18" s="37">
        <f t="shared" si="59"/>
        <v>106.36741296972292</v>
      </c>
      <c r="FH18" s="38">
        <f t="shared" si="60"/>
        <v>8</v>
      </c>
      <c r="FI18" s="37">
        <v>0.15</v>
      </c>
      <c r="FJ18" s="36">
        <v>1</v>
      </c>
      <c r="FK18" s="37">
        <f t="shared" si="61"/>
        <v>0.17238407171177383</v>
      </c>
      <c r="FL18" s="38">
        <f t="shared" si="62"/>
        <v>12</v>
      </c>
      <c r="FM18" s="37">
        <v>0.05</v>
      </c>
      <c r="FN18" s="36">
        <v>0</v>
      </c>
      <c r="FO18" s="37">
        <f t="shared" si="63"/>
        <v>0</v>
      </c>
      <c r="FP18" s="38">
        <f t="shared" si="64"/>
        <v>8</v>
      </c>
      <c r="FQ18" s="37">
        <v>0.05</v>
      </c>
      <c r="FR18" s="39">
        <f t="shared" si="65"/>
        <v>1.0000000000000002</v>
      </c>
      <c r="FS18" s="75">
        <f t="shared" si="84"/>
        <v>8.9</v>
      </c>
      <c r="FT18" s="67">
        <f t="shared" si="85"/>
        <v>13</v>
      </c>
      <c r="FU18" s="30">
        <v>95</v>
      </c>
      <c r="FV18" s="30">
        <v>95</v>
      </c>
      <c r="FW18" s="82">
        <f t="shared" si="66"/>
        <v>100</v>
      </c>
      <c r="FX18" s="67">
        <f t="shared" si="67"/>
        <v>1</v>
      </c>
      <c r="FY18" s="83">
        <v>0.1</v>
      </c>
      <c r="FZ18" s="66">
        <f>69/BE18*1000</f>
        <v>11.7968883569841</v>
      </c>
      <c r="GA18" s="66">
        <f>80/BF18*1000</f>
        <v>13.790725736941907</v>
      </c>
      <c r="GB18" s="84">
        <f t="shared" si="68"/>
        <v>116.90138381938146</v>
      </c>
      <c r="GC18" s="38">
        <f t="shared" si="69"/>
        <v>16</v>
      </c>
      <c r="GD18" s="70">
        <v>0.1</v>
      </c>
      <c r="GE18" s="85">
        <v>29</v>
      </c>
      <c r="GF18" s="85">
        <v>29</v>
      </c>
      <c r="GG18" s="37">
        <f t="shared" si="70"/>
        <v>100</v>
      </c>
      <c r="GH18" s="38">
        <v>1</v>
      </c>
      <c r="GI18" s="70">
        <v>0.1</v>
      </c>
      <c r="GJ18" s="36">
        <v>7</v>
      </c>
      <c r="GK18" s="38">
        <f t="shared" si="71"/>
        <v>7</v>
      </c>
      <c r="GL18" s="70">
        <v>0.1</v>
      </c>
      <c r="GM18" s="36">
        <v>2</v>
      </c>
      <c r="GN18" s="37">
        <f t="shared" si="72"/>
        <v>0.34476814342354767</v>
      </c>
      <c r="GO18" s="38">
        <f t="shared" si="73"/>
        <v>13</v>
      </c>
      <c r="GP18" s="70">
        <v>0.1</v>
      </c>
      <c r="GQ18" s="86">
        <f t="shared" si="74"/>
        <v>0.5</v>
      </c>
      <c r="GR18" s="75">
        <f t="shared" si="86"/>
        <v>3.8000000000000007</v>
      </c>
      <c r="GS18" s="67">
        <f t="shared" si="87"/>
        <v>14</v>
      </c>
      <c r="GT18" s="87">
        <f t="shared" si="88"/>
        <v>8.4666666666666668</v>
      </c>
      <c r="GU18" s="88">
        <f t="shared" si="75"/>
        <v>17</v>
      </c>
      <c r="GV18" s="15" t="s">
        <v>15</v>
      </c>
    </row>
    <row r="19" spans="1:204" s="5" customFormat="1" ht="15.6" x14ac:dyDescent="0.3">
      <c r="A19" s="13">
        <v>14</v>
      </c>
      <c r="B19" s="15" t="s">
        <v>16</v>
      </c>
      <c r="C19" s="65">
        <v>31033.81</v>
      </c>
      <c r="D19" s="65">
        <v>30215.07</v>
      </c>
      <c r="E19" s="66">
        <f t="shared" si="0"/>
        <v>97.361780587043611</v>
      </c>
      <c r="F19" s="67">
        <f t="shared" si="1"/>
        <v>12</v>
      </c>
      <c r="G19" s="66">
        <v>0.13</v>
      </c>
      <c r="H19" s="68">
        <v>33834.46</v>
      </c>
      <c r="I19" s="69">
        <v>30215.07</v>
      </c>
      <c r="J19" s="37">
        <f t="shared" si="2"/>
        <v>89.302651793467362</v>
      </c>
      <c r="K19" s="37">
        <f>ABS(J19-K4)</f>
        <v>10.697348206532638</v>
      </c>
      <c r="L19" s="38">
        <f t="shared" si="3"/>
        <v>17</v>
      </c>
      <c r="M19" s="70">
        <v>0.1</v>
      </c>
      <c r="N19" s="71">
        <v>4495.47</v>
      </c>
      <c r="O19" s="72">
        <f t="shared" si="4"/>
        <v>6213</v>
      </c>
      <c r="P19" s="73">
        <f t="shared" si="5"/>
        <v>0.72355866731047802</v>
      </c>
      <c r="Q19" s="38">
        <f t="shared" si="6"/>
        <v>15</v>
      </c>
      <c r="R19" s="70">
        <v>0.1</v>
      </c>
      <c r="S19" s="71">
        <v>37143.050000000003</v>
      </c>
      <c r="T19" s="71">
        <v>36987.040000000001</v>
      </c>
      <c r="U19" s="37">
        <f t="shared" si="7"/>
        <v>99.579975257820777</v>
      </c>
      <c r="V19" s="38">
        <f t="shared" si="8"/>
        <v>3</v>
      </c>
      <c r="W19" s="70">
        <v>0.1</v>
      </c>
      <c r="X19" s="71">
        <v>32979.30431</v>
      </c>
      <c r="Y19" s="71">
        <v>5616.2358400000003</v>
      </c>
      <c r="Z19" s="37">
        <f t="shared" si="9"/>
        <v>17.029576449546401</v>
      </c>
      <c r="AA19" s="67">
        <f t="shared" si="10"/>
        <v>6</v>
      </c>
      <c r="AB19" s="70">
        <v>0.1</v>
      </c>
      <c r="AC19" s="28">
        <v>36987.040000000001</v>
      </c>
      <c r="AD19" s="28">
        <v>6069.4</v>
      </c>
      <c r="AE19" s="66">
        <f t="shared" si="11"/>
        <v>16.409531554836505</v>
      </c>
      <c r="AF19" s="67">
        <f t="shared" si="12"/>
        <v>14</v>
      </c>
      <c r="AG19" s="66">
        <v>0.13</v>
      </c>
      <c r="AH19" s="33">
        <v>0</v>
      </c>
      <c r="AI19" s="28">
        <v>37143.050000000003</v>
      </c>
      <c r="AJ19" s="27">
        <f t="shared" si="13"/>
        <v>0</v>
      </c>
      <c r="AK19" s="45">
        <f t="shared" si="14"/>
        <v>1</v>
      </c>
      <c r="AL19" s="30">
        <v>0.12</v>
      </c>
      <c r="AM19" s="27">
        <v>0.14851500000000001</v>
      </c>
      <c r="AN19" s="28">
        <v>30215.07</v>
      </c>
      <c r="AO19" s="29">
        <f t="shared" si="15"/>
        <v>4.915262483257527E-4</v>
      </c>
      <c r="AP19" s="45">
        <f t="shared" si="16"/>
        <v>9</v>
      </c>
      <c r="AQ19" s="30">
        <v>0.12</v>
      </c>
      <c r="AR19" s="28">
        <v>0</v>
      </c>
      <c r="AS19" s="28">
        <v>0</v>
      </c>
      <c r="AT19" s="66">
        <v>0</v>
      </c>
      <c r="AU19" s="67">
        <f t="shared" si="17"/>
        <v>5</v>
      </c>
      <c r="AV19" s="30">
        <v>0.05</v>
      </c>
      <c r="AW19" s="28">
        <v>1146923.26</v>
      </c>
      <c r="AX19" s="28">
        <v>915016.15</v>
      </c>
      <c r="AY19" s="74">
        <f t="shared" si="18"/>
        <v>79.780067412705534</v>
      </c>
      <c r="AZ19" s="67">
        <f t="shared" si="19"/>
        <v>2</v>
      </c>
      <c r="BA19" s="30">
        <v>0.05</v>
      </c>
      <c r="BB19" s="66">
        <f t="shared" si="20"/>
        <v>1</v>
      </c>
      <c r="BC19" s="75">
        <f t="shared" si="76"/>
        <v>9.0299999999999994</v>
      </c>
      <c r="BD19" s="67">
        <f t="shared" si="77"/>
        <v>11</v>
      </c>
      <c r="BE19" s="72">
        <v>5565</v>
      </c>
      <c r="BF19" s="72">
        <v>6213</v>
      </c>
      <c r="BG19" s="37">
        <f t="shared" si="21"/>
        <v>111.64420485175202</v>
      </c>
      <c r="BH19" s="38">
        <f t="shared" si="22"/>
        <v>1</v>
      </c>
      <c r="BI19" s="37">
        <v>0.12</v>
      </c>
      <c r="BJ19" s="30">
        <v>14</v>
      </c>
      <c r="BK19" s="66">
        <f t="shared" si="23"/>
        <v>0.53846153846153844</v>
      </c>
      <c r="BL19" s="67">
        <f t="shared" si="24"/>
        <v>14</v>
      </c>
      <c r="BM19" s="66">
        <v>0.12</v>
      </c>
      <c r="BN19" s="28">
        <v>4934.2</v>
      </c>
      <c r="BO19" s="30">
        <v>12.4</v>
      </c>
      <c r="BP19" s="28">
        <f t="shared" si="25"/>
        <v>33159.946236559139</v>
      </c>
      <c r="BQ19" s="76">
        <f t="shared" si="26"/>
        <v>101.11096072814382</v>
      </c>
      <c r="BR19" s="70">
        <f>ABS(BQ19-BR4)</f>
        <v>1.110960728143823</v>
      </c>
      <c r="BS19" s="67">
        <f t="shared" si="27"/>
        <v>9</v>
      </c>
      <c r="BT19" s="66">
        <v>0.15</v>
      </c>
      <c r="BU19" s="36">
        <v>2</v>
      </c>
      <c r="BV19" s="36">
        <v>6</v>
      </c>
      <c r="BW19" s="70">
        <f t="shared" si="28"/>
        <v>33.333333333333329</v>
      </c>
      <c r="BX19" s="38">
        <f t="shared" si="29"/>
        <v>3</v>
      </c>
      <c r="BY19" s="37">
        <v>0.11</v>
      </c>
      <c r="BZ19" s="36">
        <v>0</v>
      </c>
      <c r="CA19" s="36">
        <v>274</v>
      </c>
      <c r="CB19" s="37">
        <f t="shared" si="30"/>
        <v>0</v>
      </c>
      <c r="CC19" s="38">
        <f t="shared" si="31"/>
        <v>11</v>
      </c>
      <c r="CD19" s="37">
        <v>0.03</v>
      </c>
      <c r="CE19" s="36">
        <v>2</v>
      </c>
      <c r="CF19" s="36">
        <v>2</v>
      </c>
      <c r="CG19" s="37">
        <f t="shared" si="32"/>
        <v>100</v>
      </c>
      <c r="CH19" s="38">
        <f t="shared" si="33"/>
        <v>1</v>
      </c>
      <c r="CI19" s="37">
        <v>7.0000000000000007E-2</v>
      </c>
      <c r="CJ19" s="36">
        <v>0</v>
      </c>
      <c r="CK19" s="37">
        <f t="shared" si="34"/>
        <v>0</v>
      </c>
      <c r="CL19" s="38">
        <f t="shared" si="35"/>
        <v>2</v>
      </c>
      <c r="CM19" s="70">
        <v>0.1</v>
      </c>
      <c r="CN19" s="70">
        <f t="shared" si="36"/>
        <v>0.70000000000000007</v>
      </c>
      <c r="CO19" s="75">
        <f t="shared" si="78"/>
        <v>4.0799999999999992</v>
      </c>
      <c r="CP19" s="67">
        <f t="shared" si="79"/>
        <v>5</v>
      </c>
      <c r="CQ19" s="77"/>
      <c r="CR19" s="77"/>
      <c r="CS19" s="66">
        <v>98</v>
      </c>
      <c r="CT19" s="67">
        <f t="shared" si="37"/>
        <v>5</v>
      </c>
      <c r="CU19" s="66">
        <v>0.06</v>
      </c>
      <c r="CV19" s="66">
        <v>0</v>
      </c>
      <c r="CW19" s="67">
        <f t="shared" si="38"/>
        <v>1</v>
      </c>
      <c r="CX19" s="66">
        <v>0.02</v>
      </c>
      <c r="CY19" s="72"/>
      <c r="CZ19" s="72"/>
      <c r="DA19" s="78">
        <v>0</v>
      </c>
      <c r="DB19" s="38">
        <f t="shared" si="39"/>
        <v>1</v>
      </c>
      <c r="DC19" s="37">
        <v>0.02</v>
      </c>
      <c r="DD19" s="78">
        <v>0.51800000000000002</v>
      </c>
      <c r="DE19" s="38">
        <f t="shared" si="40"/>
        <v>12</v>
      </c>
      <c r="DF19" s="70">
        <v>0.2</v>
      </c>
      <c r="DG19" s="66">
        <v>79.916359089665519</v>
      </c>
      <c r="DH19" s="38">
        <f t="shared" si="41"/>
        <v>9</v>
      </c>
      <c r="DI19" s="70">
        <v>0.1</v>
      </c>
      <c r="DJ19" s="36">
        <v>4</v>
      </c>
      <c r="DK19" s="38">
        <f t="shared" si="42"/>
        <v>5</v>
      </c>
      <c r="DL19" s="70">
        <v>0.2</v>
      </c>
      <c r="DM19" s="70">
        <f t="shared" si="43"/>
        <v>0.60000000000000009</v>
      </c>
      <c r="DN19" s="75">
        <f t="shared" si="80"/>
        <v>4.6400000000000006</v>
      </c>
      <c r="DO19" s="67">
        <f t="shared" si="81"/>
        <v>8</v>
      </c>
      <c r="DP19" s="72">
        <v>3</v>
      </c>
      <c r="DQ19" s="37">
        <v>1</v>
      </c>
      <c r="DR19" s="38">
        <f t="shared" si="44"/>
        <v>1</v>
      </c>
      <c r="DS19" s="70">
        <v>0.1</v>
      </c>
      <c r="DT19" s="36">
        <v>1</v>
      </c>
      <c r="DU19" s="38">
        <f t="shared" si="45"/>
        <v>1</v>
      </c>
      <c r="DV19" s="37">
        <v>0.15</v>
      </c>
      <c r="DW19" s="36"/>
      <c r="DX19" s="36"/>
      <c r="DY19" s="36" t="e">
        <f t="shared" si="46"/>
        <v>#DIV/0!</v>
      </c>
      <c r="DZ19" s="38" t="e">
        <f t="shared" si="47"/>
        <v>#DIV/0!</v>
      </c>
      <c r="EA19" s="37">
        <v>0.05</v>
      </c>
      <c r="EB19" s="37">
        <f t="shared" si="48"/>
        <v>0.3</v>
      </c>
      <c r="EC19" s="75">
        <f t="shared" si="82"/>
        <v>0.25</v>
      </c>
      <c r="ED19" s="67">
        <f t="shared" si="83"/>
        <v>1</v>
      </c>
      <c r="EE19" s="79">
        <v>77</v>
      </c>
      <c r="EF19" s="79">
        <v>77</v>
      </c>
      <c r="EG19" s="80">
        <f t="shared" si="49"/>
        <v>100</v>
      </c>
      <c r="EH19" s="81">
        <f t="shared" si="50"/>
        <v>1</v>
      </c>
      <c r="EI19" s="66">
        <v>0.2</v>
      </c>
      <c r="EJ19" s="70">
        <v>47.3</v>
      </c>
      <c r="EK19" s="38">
        <f t="shared" si="51"/>
        <v>11</v>
      </c>
      <c r="EL19" s="37">
        <v>0.2</v>
      </c>
      <c r="EM19" s="36">
        <v>26</v>
      </c>
      <c r="EN19" s="37">
        <f t="shared" si="52"/>
        <v>100</v>
      </c>
      <c r="EO19" s="38">
        <f t="shared" si="53"/>
        <v>1</v>
      </c>
      <c r="EP19" s="70">
        <v>0.1</v>
      </c>
      <c r="EQ19" s="36">
        <v>1</v>
      </c>
      <c r="ER19" s="38">
        <f t="shared" si="54"/>
        <v>1</v>
      </c>
      <c r="ES19" s="37">
        <v>0.05</v>
      </c>
      <c r="ET19" s="36">
        <v>1</v>
      </c>
      <c r="EU19" s="38">
        <f t="shared" si="55"/>
        <v>1</v>
      </c>
      <c r="EV19" s="37">
        <v>0.05</v>
      </c>
      <c r="EW19" s="36">
        <v>1</v>
      </c>
      <c r="EX19" s="38">
        <f t="shared" si="56"/>
        <v>10</v>
      </c>
      <c r="EY19" s="37">
        <v>0.1</v>
      </c>
      <c r="EZ19" s="36">
        <v>0</v>
      </c>
      <c r="FA19" s="36">
        <v>11</v>
      </c>
      <c r="FB19" s="37">
        <f t="shared" si="57"/>
        <v>0</v>
      </c>
      <c r="FC19" s="38">
        <f t="shared" si="58"/>
        <v>1</v>
      </c>
      <c r="FD19" s="37">
        <v>0.05</v>
      </c>
      <c r="FE19" s="37">
        <v>48.158131176999106</v>
      </c>
      <c r="FF19" s="37">
        <v>66.956381780138415</v>
      </c>
      <c r="FG19" s="37">
        <f t="shared" si="59"/>
        <v>139.03442709196651</v>
      </c>
      <c r="FH19" s="38">
        <f t="shared" si="60"/>
        <v>1</v>
      </c>
      <c r="FI19" s="37">
        <v>0.15</v>
      </c>
      <c r="FJ19" s="36">
        <v>11</v>
      </c>
      <c r="FK19" s="37">
        <f t="shared" si="61"/>
        <v>1.7704812489940447</v>
      </c>
      <c r="FL19" s="38">
        <f t="shared" si="62"/>
        <v>4</v>
      </c>
      <c r="FM19" s="37">
        <v>0.05</v>
      </c>
      <c r="FN19" s="36">
        <v>8</v>
      </c>
      <c r="FO19" s="37">
        <f t="shared" si="63"/>
        <v>1.2876227265411235</v>
      </c>
      <c r="FP19" s="38">
        <f t="shared" si="64"/>
        <v>4</v>
      </c>
      <c r="FQ19" s="37">
        <v>0.05</v>
      </c>
      <c r="FR19" s="39">
        <f t="shared" si="65"/>
        <v>1.0000000000000002</v>
      </c>
      <c r="FS19" s="75">
        <f t="shared" si="84"/>
        <v>4.2</v>
      </c>
      <c r="FT19" s="67">
        <f t="shared" si="85"/>
        <v>3</v>
      </c>
      <c r="FU19" s="30">
        <v>51</v>
      </c>
      <c r="FV19" s="30">
        <v>51</v>
      </c>
      <c r="FW19" s="82">
        <f t="shared" si="66"/>
        <v>100</v>
      </c>
      <c r="FX19" s="67">
        <f t="shared" si="67"/>
        <v>1</v>
      </c>
      <c r="FY19" s="83">
        <v>0.1</v>
      </c>
      <c r="FZ19" s="66">
        <f>109/BE19*1000</f>
        <v>19.58670260557053</v>
      </c>
      <c r="GA19" s="66">
        <f>108/BF19*1000</f>
        <v>17.382906808305165</v>
      </c>
      <c r="GB19" s="84">
        <f t="shared" si="68"/>
        <v>88.748510447906654</v>
      </c>
      <c r="GC19" s="38">
        <f t="shared" si="69"/>
        <v>12</v>
      </c>
      <c r="GD19" s="70">
        <v>0.1</v>
      </c>
      <c r="GE19" s="85">
        <v>20</v>
      </c>
      <c r="GF19" s="85">
        <v>20</v>
      </c>
      <c r="GG19" s="37">
        <f t="shared" si="70"/>
        <v>100</v>
      </c>
      <c r="GH19" s="38">
        <v>1</v>
      </c>
      <c r="GI19" s="70">
        <v>0.1</v>
      </c>
      <c r="GJ19" s="36">
        <v>18</v>
      </c>
      <c r="GK19" s="38">
        <f t="shared" si="71"/>
        <v>14</v>
      </c>
      <c r="GL19" s="70">
        <v>0.1</v>
      </c>
      <c r="GM19" s="36">
        <v>1</v>
      </c>
      <c r="GN19" s="37">
        <f t="shared" si="72"/>
        <v>0.16095284081764044</v>
      </c>
      <c r="GO19" s="38">
        <f t="shared" si="73"/>
        <v>10</v>
      </c>
      <c r="GP19" s="70">
        <v>0.1</v>
      </c>
      <c r="GQ19" s="86">
        <f t="shared" si="74"/>
        <v>0.5</v>
      </c>
      <c r="GR19" s="75">
        <f t="shared" si="86"/>
        <v>3.8000000000000007</v>
      </c>
      <c r="GS19" s="67">
        <f t="shared" si="87"/>
        <v>14</v>
      </c>
      <c r="GT19" s="87">
        <f t="shared" si="88"/>
        <v>4.9333333333333336</v>
      </c>
      <c r="GU19" s="88">
        <f t="shared" si="75"/>
        <v>5</v>
      </c>
      <c r="GV19" s="15" t="s">
        <v>16</v>
      </c>
    </row>
    <row r="20" spans="1:204" s="5" customFormat="1" ht="15.6" x14ac:dyDescent="0.3">
      <c r="A20" s="18">
        <v>15</v>
      </c>
      <c r="B20" s="19" t="s">
        <v>17</v>
      </c>
      <c r="C20" s="65">
        <v>10852.3</v>
      </c>
      <c r="D20" s="65">
        <v>9368.34</v>
      </c>
      <c r="E20" s="66">
        <f t="shared" si="0"/>
        <v>86.325847976926568</v>
      </c>
      <c r="F20" s="67">
        <f t="shared" si="1"/>
        <v>16</v>
      </c>
      <c r="G20" s="66">
        <v>0.13</v>
      </c>
      <c r="H20" s="68">
        <v>9120.4</v>
      </c>
      <c r="I20" s="69">
        <v>9368.34</v>
      </c>
      <c r="J20" s="37">
        <f t="shared" si="2"/>
        <v>102.71852111749484</v>
      </c>
      <c r="K20" s="37">
        <f>ABS(J20-K4)</f>
        <v>2.7185211174948449</v>
      </c>
      <c r="L20" s="38">
        <f t="shared" si="3"/>
        <v>8</v>
      </c>
      <c r="M20" s="70">
        <v>0.1</v>
      </c>
      <c r="N20" s="71">
        <v>1344.8899999999999</v>
      </c>
      <c r="O20" s="72">
        <f t="shared" si="4"/>
        <v>1319</v>
      </c>
      <c r="P20" s="73">
        <f t="shared" si="5"/>
        <v>1.0196285064442758</v>
      </c>
      <c r="Q20" s="38">
        <f t="shared" si="6"/>
        <v>11</v>
      </c>
      <c r="R20" s="70">
        <v>0.1</v>
      </c>
      <c r="S20" s="71">
        <v>15780.1</v>
      </c>
      <c r="T20" s="71">
        <v>15734.79</v>
      </c>
      <c r="U20" s="37">
        <f t="shared" si="7"/>
        <v>99.712866204903648</v>
      </c>
      <c r="V20" s="38">
        <f t="shared" si="8"/>
        <v>2</v>
      </c>
      <c r="W20" s="70">
        <v>0.1</v>
      </c>
      <c r="X20" s="71">
        <v>14209.76289</v>
      </c>
      <c r="Y20" s="71">
        <v>3402.13814</v>
      </c>
      <c r="Z20" s="37">
        <f t="shared" si="9"/>
        <v>23.942258335599856</v>
      </c>
      <c r="AA20" s="67">
        <f t="shared" si="10"/>
        <v>13</v>
      </c>
      <c r="AB20" s="70">
        <v>0.1</v>
      </c>
      <c r="AC20" s="28">
        <v>15734.79</v>
      </c>
      <c r="AD20" s="28">
        <v>1903.7</v>
      </c>
      <c r="AE20" s="66">
        <f t="shared" si="11"/>
        <v>12.0986679834939</v>
      </c>
      <c r="AF20" s="67">
        <f t="shared" si="12"/>
        <v>15</v>
      </c>
      <c r="AG20" s="66">
        <v>0.13</v>
      </c>
      <c r="AH20" s="33">
        <v>0.14118</v>
      </c>
      <c r="AI20" s="28">
        <v>15780.1</v>
      </c>
      <c r="AJ20" s="27">
        <f t="shared" si="13"/>
        <v>8.9467113643132803E-4</v>
      </c>
      <c r="AK20" s="45">
        <f t="shared" si="14"/>
        <v>16</v>
      </c>
      <c r="AL20" s="30">
        <v>0.12</v>
      </c>
      <c r="AM20" s="27">
        <v>4.6699999999999998E-2</v>
      </c>
      <c r="AN20" s="28">
        <v>9368.34</v>
      </c>
      <c r="AO20" s="29">
        <f t="shared" si="15"/>
        <v>4.9848745882408196E-4</v>
      </c>
      <c r="AP20" s="45">
        <f t="shared" si="16"/>
        <v>10</v>
      </c>
      <c r="AQ20" s="30">
        <v>0.12</v>
      </c>
      <c r="AR20" s="28">
        <v>0</v>
      </c>
      <c r="AS20" s="28">
        <v>0</v>
      </c>
      <c r="AT20" s="66">
        <v>0</v>
      </c>
      <c r="AU20" s="67">
        <f t="shared" si="17"/>
        <v>5</v>
      </c>
      <c r="AV20" s="30">
        <v>0.05</v>
      </c>
      <c r="AW20" s="28">
        <v>625560.63</v>
      </c>
      <c r="AX20" s="28">
        <v>36960.21</v>
      </c>
      <c r="AY20" s="74">
        <f t="shared" si="18"/>
        <v>5.9083337773350602</v>
      </c>
      <c r="AZ20" s="67">
        <f t="shared" si="19"/>
        <v>8</v>
      </c>
      <c r="BA20" s="30">
        <v>0.05</v>
      </c>
      <c r="BB20" s="66">
        <f t="shared" si="20"/>
        <v>1</v>
      </c>
      <c r="BC20" s="75">
        <f t="shared" si="76"/>
        <v>11.2</v>
      </c>
      <c r="BD20" s="67">
        <f t="shared" si="77"/>
        <v>15</v>
      </c>
      <c r="BE20" s="72">
        <v>1312</v>
      </c>
      <c r="BF20" s="72">
        <v>1319</v>
      </c>
      <c r="BG20" s="37">
        <f t="shared" si="21"/>
        <v>100.53353658536585</v>
      </c>
      <c r="BH20" s="38">
        <f t="shared" si="22"/>
        <v>11</v>
      </c>
      <c r="BI20" s="37">
        <v>0.12</v>
      </c>
      <c r="BJ20" s="30">
        <v>15</v>
      </c>
      <c r="BK20" s="66">
        <f t="shared" si="23"/>
        <v>0.57692307692307687</v>
      </c>
      <c r="BL20" s="67">
        <f t="shared" si="24"/>
        <v>13</v>
      </c>
      <c r="BM20" s="66">
        <v>0.12</v>
      </c>
      <c r="BN20" s="28">
        <v>2209.9</v>
      </c>
      <c r="BO20" s="30">
        <v>5.6</v>
      </c>
      <c r="BP20" s="28">
        <f t="shared" si="25"/>
        <v>32885.416666666672</v>
      </c>
      <c r="BQ20" s="76">
        <f t="shared" si="26"/>
        <v>100.27386803920852</v>
      </c>
      <c r="BR20" s="70">
        <f>ABS(BQ20-BR4)</f>
        <v>0.27386803920852287</v>
      </c>
      <c r="BS20" s="67">
        <f t="shared" si="27"/>
        <v>4</v>
      </c>
      <c r="BT20" s="66">
        <v>0.15</v>
      </c>
      <c r="BU20" s="36">
        <v>0</v>
      </c>
      <c r="BV20" s="36">
        <v>0</v>
      </c>
      <c r="BW20" s="70"/>
      <c r="BX20" s="38">
        <f t="shared" si="29"/>
        <v>1</v>
      </c>
      <c r="BY20" s="37">
        <v>0.11</v>
      </c>
      <c r="BZ20" s="36">
        <v>0</v>
      </c>
      <c r="CA20" s="36">
        <v>58</v>
      </c>
      <c r="CB20" s="37">
        <f t="shared" si="30"/>
        <v>0</v>
      </c>
      <c r="CC20" s="38">
        <f t="shared" si="31"/>
        <v>11</v>
      </c>
      <c r="CD20" s="37">
        <v>0.03</v>
      </c>
      <c r="CE20" s="36">
        <v>2</v>
      </c>
      <c r="CF20" s="36">
        <v>2</v>
      </c>
      <c r="CG20" s="37">
        <f t="shared" si="32"/>
        <v>100</v>
      </c>
      <c r="CH20" s="38">
        <f t="shared" si="33"/>
        <v>1</v>
      </c>
      <c r="CI20" s="37">
        <v>7.0000000000000007E-2</v>
      </c>
      <c r="CJ20" s="36">
        <v>0</v>
      </c>
      <c r="CK20" s="37">
        <f t="shared" si="34"/>
        <v>0</v>
      </c>
      <c r="CL20" s="38">
        <f t="shared" si="35"/>
        <v>2</v>
      </c>
      <c r="CM20" s="70">
        <v>0.1</v>
      </c>
      <c r="CN20" s="70">
        <f t="shared" si="36"/>
        <v>0.70000000000000007</v>
      </c>
      <c r="CO20" s="75">
        <f t="shared" si="78"/>
        <v>4.1899999999999995</v>
      </c>
      <c r="CP20" s="67">
        <f t="shared" si="79"/>
        <v>6</v>
      </c>
      <c r="CQ20" s="77"/>
      <c r="CR20" s="77"/>
      <c r="CS20" s="66">
        <v>126.1</v>
      </c>
      <c r="CT20" s="67">
        <f t="shared" si="37"/>
        <v>1</v>
      </c>
      <c r="CU20" s="66">
        <v>0.06</v>
      </c>
      <c r="CV20" s="66">
        <v>0</v>
      </c>
      <c r="CW20" s="67">
        <f t="shared" si="38"/>
        <v>1</v>
      </c>
      <c r="CX20" s="66">
        <v>0.02</v>
      </c>
      <c r="CY20" s="72"/>
      <c r="CZ20" s="72"/>
      <c r="DA20" s="78">
        <v>0</v>
      </c>
      <c r="DB20" s="38">
        <f t="shared" si="39"/>
        <v>1</v>
      </c>
      <c r="DC20" s="37">
        <v>0.02</v>
      </c>
      <c r="DD20" s="78">
        <v>0.13500000000000001</v>
      </c>
      <c r="DE20" s="38">
        <f t="shared" si="40"/>
        <v>5</v>
      </c>
      <c r="DF20" s="70">
        <v>0.2</v>
      </c>
      <c r="DG20" s="66">
        <v>98.299308624578586</v>
      </c>
      <c r="DH20" s="38">
        <f t="shared" si="41"/>
        <v>2</v>
      </c>
      <c r="DI20" s="70">
        <v>0.1</v>
      </c>
      <c r="DJ20" s="36">
        <v>4</v>
      </c>
      <c r="DK20" s="38">
        <f t="shared" si="42"/>
        <v>5</v>
      </c>
      <c r="DL20" s="70">
        <v>0.2</v>
      </c>
      <c r="DM20" s="70">
        <f t="shared" si="43"/>
        <v>0.60000000000000009</v>
      </c>
      <c r="DN20" s="75">
        <f t="shared" si="80"/>
        <v>2.2999999999999998</v>
      </c>
      <c r="DO20" s="67">
        <f t="shared" si="81"/>
        <v>3</v>
      </c>
      <c r="DP20" s="92">
        <v>2</v>
      </c>
      <c r="DQ20" s="93">
        <v>0.6</v>
      </c>
      <c r="DR20" s="38">
        <f t="shared" si="44"/>
        <v>13</v>
      </c>
      <c r="DS20" s="70">
        <v>0.1</v>
      </c>
      <c r="DT20" s="36">
        <v>1</v>
      </c>
      <c r="DU20" s="38">
        <f t="shared" si="45"/>
        <v>1</v>
      </c>
      <c r="DV20" s="37">
        <v>0.15</v>
      </c>
      <c r="DW20" s="36"/>
      <c r="DX20" s="36"/>
      <c r="DY20" s="36" t="e">
        <f t="shared" si="46"/>
        <v>#DIV/0!</v>
      </c>
      <c r="DZ20" s="38" t="e">
        <f t="shared" si="47"/>
        <v>#DIV/0!</v>
      </c>
      <c r="EA20" s="37">
        <v>0.05</v>
      </c>
      <c r="EB20" s="37">
        <f t="shared" si="48"/>
        <v>0.3</v>
      </c>
      <c r="EC20" s="75">
        <f t="shared" si="82"/>
        <v>1.45</v>
      </c>
      <c r="ED20" s="67">
        <f t="shared" si="83"/>
        <v>8</v>
      </c>
      <c r="EE20" s="79">
        <v>65</v>
      </c>
      <c r="EF20" s="79">
        <v>66</v>
      </c>
      <c r="EG20" s="80">
        <f t="shared" si="49"/>
        <v>98.484848484848484</v>
      </c>
      <c r="EH20" s="81">
        <f t="shared" si="50"/>
        <v>11</v>
      </c>
      <c r="EI20" s="66">
        <v>0.2</v>
      </c>
      <c r="EJ20" s="82">
        <v>47.5</v>
      </c>
      <c r="EK20" s="38">
        <f t="shared" si="51"/>
        <v>9</v>
      </c>
      <c r="EL20" s="37">
        <v>0.2</v>
      </c>
      <c r="EM20" s="36">
        <v>26</v>
      </c>
      <c r="EN20" s="37">
        <f t="shared" si="52"/>
        <v>100</v>
      </c>
      <c r="EO20" s="38">
        <f t="shared" si="53"/>
        <v>1</v>
      </c>
      <c r="EP20" s="70">
        <v>0.1</v>
      </c>
      <c r="EQ20" s="36">
        <v>1</v>
      </c>
      <c r="ER20" s="38">
        <f t="shared" si="54"/>
        <v>1</v>
      </c>
      <c r="ES20" s="37">
        <v>0.05</v>
      </c>
      <c r="ET20" s="36">
        <v>1</v>
      </c>
      <c r="EU20" s="38">
        <f t="shared" si="55"/>
        <v>1</v>
      </c>
      <c r="EV20" s="37">
        <v>0.05</v>
      </c>
      <c r="EW20" s="36">
        <v>0</v>
      </c>
      <c r="EX20" s="38">
        <f t="shared" si="56"/>
        <v>15</v>
      </c>
      <c r="EY20" s="37">
        <v>0.1</v>
      </c>
      <c r="EZ20" s="36">
        <v>3</v>
      </c>
      <c r="FA20" s="36">
        <v>13</v>
      </c>
      <c r="FB20" s="37">
        <f t="shared" si="57"/>
        <v>23.076923076923077</v>
      </c>
      <c r="FC20" s="38">
        <f t="shared" si="58"/>
        <v>8</v>
      </c>
      <c r="FD20" s="37">
        <v>0.05</v>
      </c>
      <c r="FE20" s="37">
        <v>30.487804878048781</v>
      </c>
      <c r="FF20" s="37">
        <v>32.600454890068235</v>
      </c>
      <c r="FG20" s="37">
        <f t="shared" si="59"/>
        <v>106.92949203942381</v>
      </c>
      <c r="FH20" s="38">
        <f t="shared" si="60"/>
        <v>6</v>
      </c>
      <c r="FI20" s="37">
        <v>0.15</v>
      </c>
      <c r="FJ20" s="36">
        <v>0</v>
      </c>
      <c r="FK20" s="37">
        <f t="shared" si="61"/>
        <v>0</v>
      </c>
      <c r="FL20" s="38">
        <f t="shared" si="62"/>
        <v>13</v>
      </c>
      <c r="FM20" s="37">
        <v>0.05</v>
      </c>
      <c r="FN20" s="36">
        <v>0</v>
      </c>
      <c r="FO20" s="37">
        <f t="shared" si="63"/>
        <v>0</v>
      </c>
      <c r="FP20" s="38">
        <f t="shared" si="64"/>
        <v>8</v>
      </c>
      <c r="FQ20" s="37">
        <v>0.05</v>
      </c>
      <c r="FR20" s="39">
        <f t="shared" si="65"/>
        <v>1.0000000000000002</v>
      </c>
      <c r="FS20" s="75">
        <f t="shared" si="84"/>
        <v>8.0500000000000007</v>
      </c>
      <c r="FT20" s="67">
        <f t="shared" si="85"/>
        <v>10</v>
      </c>
      <c r="FU20" s="30">
        <v>20</v>
      </c>
      <c r="FV20" s="30">
        <v>20</v>
      </c>
      <c r="FW20" s="82">
        <f t="shared" si="66"/>
        <v>100</v>
      </c>
      <c r="FX20" s="67">
        <f t="shared" si="67"/>
        <v>1</v>
      </c>
      <c r="FY20" s="83">
        <v>0.1</v>
      </c>
      <c r="FZ20" s="66">
        <f>26/BE20*1000</f>
        <v>19.817073170731707</v>
      </c>
      <c r="GA20" s="66">
        <f>32/BF20*1000</f>
        <v>24.260803639120546</v>
      </c>
      <c r="GB20" s="84">
        <f t="shared" si="68"/>
        <v>122.42374759433136</v>
      </c>
      <c r="GC20" s="38">
        <f t="shared" si="69"/>
        <v>17</v>
      </c>
      <c r="GD20" s="70">
        <v>0.1</v>
      </c>
      <c r="GE20" s="85">
        <v>7</v>
      </c>
      <c r="GF20" s="36">
        <v>7</v>
      </c>
      <c r="GG20" s="37">
        <f t="shared" si="70"/>
        <v>100</v>
      </c>
      <c r="GH20" s="38">
        <v>1</v>
      </c>
      <c r="GI20" s="70">
        <v>0.1</v>
      </c>
      <c r="GJ20" s="36">
        <v>6</v>
      </c>
      <c r="GK20" s="38">
        <f t="shared" si="71"/>
        <v>5</v>
      </c>
      <c r="GL20" s="70">
        <v>0.1</v>
      </c>
      <c r="GM20" s="36">
        <v>2</v>
      </c>
      <c r="GN20" s="37">
        <f t="shared" si="72"/>
        <v>1.5163002274450341</v>
      </c>
      <c r="GO20" s="38">
        <f t="shared" si="73"/>
        <v>17</v>
      </c>
      <c r="GP20" s="70">
        <v>0.1</v>
      </c>
      <c r="GQ20" s="86">
        <f t="shared" si="74"/>
        <v>0.5</v>
      </c>
      <c r="GR20" s="75">
        <f t="shared" si="86"/>
        <v>4.1000000000000005</v>
      </c>
      <c r="GS20" s="67">
        <f t="shared" si="87"/>
        <v>16</v>
      </c>
      <c r="GT20" s="87">
        <f t="shared" si="88"/>
        <v>6.8999999999999995</v>
      </c>
      <c r="GU20" s="88">
        <f t="shared" si="75"/>
        <v>10</v>
      </c>
      <c r="GV20" s="19" t="s">
        <v>17</v>
      </c>
    </row>
    <row r="21" spans="1:204" s="5" customFormat="1" ht="15.6" x14ac:dyDescent="0.3">
      <c r="A21" s="13">
        <v>16</v>
      </c>
      <c r="B21" s="15" t="s">
        <v>19</v>
      </c>
      <c r="C21" s="65">
        <v>11337.89</v>
      </c>
      <c r="D21" s="65">
        <v>17062.669999999998</v>
      </c>
      <c r="E21" s="66">
        <f t="shared" si="0"/>
        <v>150.49246376530377</v>
      </c>
      <c r="F21" s="67">
        <f t="shared" si="1"/>
        <v>1</v>
      </c>
      <c r="G21" s="66">
        <v>0.13</v>
      </c>
      <c r="H21" s="68">
        <v>17241.5</v>
      </c>
      <c r="I21" s="69">
        <v>17062.669999999998</v>
      </c>
      <c r="J21" s="37">
        <f t="shared" si="2"/>
        <v>98.962793260447171</v>
      </c>
      <c r="K21" s="37">
        <f>ABS(J21-K4)</f>
        <v>1.037206739552829</v>
      </c>
      <c r="L21" s="38">
        <f t="shared" si="3"/>
        <v>2</v>
      </c>
      <c r="M21" s="70">
        <v>0.1</v>
      </c>
      <c r="N21" s="71">
        <v>4954.08</v>
      </c>
      <c r="O21" s="72">
        <f t="shared" si="4"/>
        <v>2342</v>
      </c>
      <c r="P21" s="73">
        <f t="shared" si="5"/>
        <v>2.1153202391118699</v>
      </c>
      <c r="Q21" s="38">
        <f t="shared" si="6"/>
        <v>2</v>
      </c>
      <c r="R21" s="70">
        <v>0.1</v>
      </c>
      <c r="S21" s="71">
        <v>58274.595000000001</v>
      </c>
      <c r="T21" s="71">
        <v>57912.55</v>
      </c>
      <c r="U21" s="37">
        <f t="shared" si="7"/>
        <v>99.37872584099469</v>
      </c>
      <c r="V21" s="38">
        <f t="shared" si="8"/>
        <v>4</v>
      </c>
      <c r="W21" s="70">
        <v>0.1</v>
      </c>
      <c r="X21" s="71">
        <v>52402.229890000002</v>
      </c>
      <c r="Y21" s="71">
        <v>3549.1022400000002</v>
      </c>
      <c r="Z21" s="37">
        <f t="shared" si="9"/>
        <v>6.7728076599986071</v>
      </c>
      <c r="AA21" s="67">
        <f t="shared" si="10"/>
        <v>1</v>
      </c>
      <c r="AB21" s="70">
        <v>0.1</v>
      </c>
      <c r="AC21" s="28">
        <v>57912.55</v>
      </c>
      <c r="AD21" s="28">
        <v>41339.599999999999</v>
      </c>
      <c r="AE21" s="66">
        <f t="shared" si="11"/>
        <v>71.382800446535327</v>
      </c>
      <c r="AF21" s="67">
        <f t="shared" si="12"/>
        <v>1</v>
      </c>
      <c r="AG21" s="66">
        <v>0.13</v>
      </c>
      <c r="AH21" s="33">
        <v>0</v>
      </c>
      <c r="AI21" s="28">
        <v>58274.595000000001</v>
      </c>
      <c r="AJ21" s="27">
        <f t="shared" si="13"/>
        <v>0</v>
      </c>
      <c r="AK21" s="45">
        <f t="shared" si="14"/>
        <v>1</v>
      </c>
      <c r="AL21" s="30">
        <v>0.12</v>
      </c>
      <c r="AM21" s="27">
        <v>0.73797800000000002</v>
      </c>
      <c r="AN21" s="28">
        <v>17062.669999999998</v>
      </c>
      <c r="AO21" s="29">
        <f t="shared" si="15"/>
        <v>4.3251026949475083E-3</v>
      </c>
      <c r="AP21" s="45">
        <f t="shared" si="16"/>
        <v>14</v>
      </c>
      <c r="AQ21" s="30">
        <v>0.12</v>
      </c>
      <c r="AR21" s="28">
        <v>0</v>
      </c>
      <c r="AS21" s="28">
        <v>0</v>
      </c>
      <c r="AT21" s="66">
        <v>0</v>
      </c>
      <c r="AU21" s="67">
        <f t="shared" si="17"/>
        <v>5</v>
      </c>
      <c r="AV21" s="30">
        <v>0.05</v>
      </c>
      <c r="AW21" s="28">
        <v>5634894.2199999997</v>
      </c>
      <c r="AX21" s="28">
        <v>0</v>
      </c>
      <c r="AY21" s="74">
        <f t="shared" si="18"/>
        <v>0</v>
      </c>
      <c r="AZ21" s="67">
        <f t="shared" si="19"/>
        <v>12</v>
      </c>
      <c r="BA21" s="30">
        <v>0.05</v>
      </c>
      <c r="BB21" s="66">
        <f t="shared" si="20"/>
        <v>1</v>
      </c>
      <c r="BC21" s="75">
        <f t="shared" si="76"/>
        <v>3.81</v>
      </c>
      <c r="BD21" s="67">
        <f t="shared" si="77"/>
        <v>1</v>
      </c>
      <c r="BE21" s="94">
        <v>2357</v>
      </c>
      <c r="BF21" s="94">
        <v>2342</v>
      </c>
      <c r="BG21" s="37">
        <f t="shared" si="21"/>
        <v>99.363597793805681</v>
      </c>
      <c r="BH21" s="38">
        <f t="shared" si="22"/>
        <v>13</v>
      </c>
      <c r="BI21" s="37">
        <v>0.12</v>
      </c>
      <c r="BJ21" s="30">
        <v>10</v>
      </c>
      <c r="BK21" s="66">
        <f t="shared" si="23"/>
        <v>0.38461538461538464</v>
      </c>
      <c r="BL21" s="67">
        <f t="shared" si="24"/>
        <v>15</v>
      </c>
      <c r="BM21" s="66">
        <v>0.12</v>
      </c>
      <c r="BN21" s="28">
        <v>3194.8</v>
      </c>
      <c r="BO21" s="30">
        <v>7.9</v>
      </c>
      <c r="BP21" s="28">
        <f t="shared" si="25"/>
        <v>33700.421940928274</v>
      </c>
      <c r="BQ21" s="76">
        <f t="shared" si="26"/>
        <v>102.75897358465245</v>
      </c>
      <c r="BR21" s="70">
        <f>ABS(BQ21-BR4)</f>
        <v>2.7589735846524519</v>
      </c>
      <c r="BS21" s="67">
        <f t="shared" si="27"/>
        <v>11</v>
      </c>
      <c r="BT21" s="66">
        <v>0.15</v>
      </c>
      <c r="BU21" s="36">
        <v>8</v>
      </c>
      <c r="BV21" s="36">
        <v>5</v>
      </c>
      <c r="BW21" s="70">
        <f>BU21/BV21*100</f>
        <v>160</v>
      </c>
      <c r="BX21" s="38">
        <f t="shared" si="29"/>
        <v>15</v>
      </c>
      <c r="BY21" s="37">
        <v>0.11</v>
      </c>
      <c r="BZ21" s="95">
        <v>0</v>
      </c>
      <c r="CA21" s="95">
        <v>148</v>
      </c>
      <c r="CB21" s="37">
        <f t="shared" si="30"/>
        <v>0</v>
      </c>
      <c r="CC21" s="38">
        <f t="shared" si="31"/>
        <v>11</v>
      </c>
      <c r="CD21" s="37">
        <v>0.03</v>
      </c>
      <c r="CE21" s="36">
        <v>3</v>
      </c>
      <c r="CF21" s="36">
        <v>3</v>
      </c>
      <c r="CG21" s="37">
        <f t="shared" si="32"/>
        <v>100</v>
      </c>
      <c r="CH21" s="38">
        <f t="shared" si="33"/>
        <v>1</v>
      </c>
      <c r="CI21" s="37">
        <v>7.0000000000000007E-2</v>
      </c>
      <c r="CJ21" s="36">
        <v>0</v>
      </c>
      <c r="CK21" s="37">
        <f t="shared" si="34"/>
        <v>0</v>
      </c>
      <c r="CL21" s="38">
        <f t="shared" si="35"/>
        <v>2</v>
      </c>
      <c r="CM21" s="70">
        <v>0.1</v>
      </c>
      <c r="CN21" s="70">
        <f t="shared" si="36"/>
        <v>0.70000000000000007</v>
      </c>
      <c r="CO21" s="75">
        <f t="shared" si="78"/>
        <v>7.2600000000000007</v>
      </c>
      <c r="CP21" s="67">
        <f t="shared" si="79"/>
        <v>17</v>
      </c>
      <c r="CQ21" s="77"/>
      <c r="CR21" s="77"/>
      <c r="CS21" s="66">
        <v>91.4</v>
      </c>
      <c r="CT21" s="67">
        <f t="shared" si="37"/>
        <v>13</v>
      </c>
      <c r="CU21" s="66">
        <v>0.06</v>
      </c>
      <c r="CV21" s="66">
        <v>0</v>
      </c>
      <c r="CW21" s="67">
        <f t="shared" si="38"/>
        <v>1</v>
      </c>
      <c r="CX21" s="66">
        <v>0.02</v>
      </c>
      <c r="CY21" s="94"/>
      <c r="CZ21" s="72"/>
      <c r="DA21" s="78">
        <v>0.36</v>
      </c>
      <c r="DB21" s="38">
        <f t="shared" si="39"/>
        <v>17</v>
      </c>
      <c r="DC21" s="37">
        <v>0.02</v>
      </c>
      <c r="DD21" s="78">
        <v>0.39100000000000001</v>
      </c>
      <c r="DE21" s="38">
        <f t="shared" si="40"/>
        <v>10</v>
      </c>
      <c r="DF21" s="70">
        <v>0.2</v>
      </c>
      <c r="DG21" s="66">
        <v>75.987226377598446</v>
      </c>
      <c r="DH21" s="38">
        <f t="shared" si="41"/>
        <v>11</v>
      </c>
      <c r="DI21" s="70">
        <v>0.1</v>
      </c>
      <c r="DJ21" s="36">
        <v>4</v>
      </c>
      <c r="DK21" s="38">
        <f t="shared" si="42"/>
        <v>5</v>
      </c>
      <c r="DL21" s="70">
        <v>0.2</v>
      </c>
      <c r="DM21" s="70">
        <f t="shared" si="43"/>
        <v>0.60000000000000009</v>
      </c>
      <c r="DN21" s="75">
        <f t="shared" si="80"/>
        <v>5.24</v>
      </c>
      <c r="DO21" s="67">
        <f t="shared" si="81"/>
        <v>10</v>
      </c>
      <c r="DP21" s="94">
        <v>3</v>
      </c>
      <c r="DQ21" s="37">
        <v>1</v>
      </c>
      <c r="DR21" s="38">
        <f t="shared" si="44"/>
        <v>1</v>
      </c>
      <c r="DS21" s="70">
        <v>0.1</v>
      </c>
      <c r="DT21" s="95">
        <v>0</v>
      </c>
      <c r="DU21" s="38">
        <f t="shared" si="45"/>
        <v>11</v>
      </c>
      <c r="DV21" s="37">
        <v>0.15</v>
      </c>
      <c r="DW21" s="36"/>
      <c r="DX21" s="36"/>
      <c r="DY21" s="36" t="e">
        <f t="shared" si="46"/>
        <v>#DIV/0!</v>
      </c>
      <c r="DZ21" s="38" t="e">
        <f t="shared" si="47"/>
        <v>#DIV/0!</v>
      </c>
      <c r="EA21" s="37">
        <v>0.05</v>
      </c>
      <c r="EB21" s="37">
        <f t="shared" si="48"/>
        <v>0.3</v>
      </c>
      <c r="EC21" s="75">
        <f t="shared" si="82"/>
        <v>1.75</v>
      </c>
      <c r="ED21" s="67">
        <f t="shared" si="83"/>
        <v>11</v>
      </c>
      <c r="EE21" s="79">
        <v>73</v>
      </c>
      <c r="EF21" s="79">
        <v>75</v>
      </c>
      <c r="EG21" s="80">
        <f t="shared" si="49"/>
        <v>97.333333333333343</v>
      </c>
      <c r="EH21" s="81">
        <f t="shared" si="50"/>
        <v>12</v>
      </c>
      <c r="EI21" s="66">
        <v>0.2</v>
      </c>
      <c r="EJ21" s="82">
        <v>69.5</v>
      </c>
      <c r="EK21" s="38">
        <f t="shared" si="51"/>
        <v>2</v>
      </c>
      <c r="EL21" s="37">
        <v>0.2</v>
      </c>
      <c r="EM21" s="36">
        <v>26</v>
      </c>
      <c r="EN21" s="37">
        <f t="shared" si="52"/>
        <v>100</v>
      </c>
      <c r="EO21" s="38">
        <f t="shared" si="53"/>
        <v>1</v>
      </c>
      <c r="EP21" s="70">
        <v>0.1</v>
      </c>
      <c r="EQ21" s="36">
        <v>1</v>
      </c>
      <c r="ER21" s="38">
        <f t="shared" si="54"/>
        <v>1</v>
      </c>
      <c r="ES21" s="37">
        <v>0.05</v>
      </c>
      <c r="ET21" s="36">
        <v>1</v>
      </c>
      <c r="EU21" s="38">
        <f t="shared" si="55"/>
        <v>1</v>
      </c>
      <c r="EV21" s="37">
        <v>0.05</v>
      </c>
      <c r="EW21" s="36">
        <v>5</v>
      </c>
      <c r="EX21" s="38">
        <f t="shared" si="56"/>
        <v>4</v>
      </c>
      <c r="EY21" s="37">
        <v>0.1</v>
      </c>
      <c r="EZ21" s="36">
        <v>5</v>
      </c>
      <c r="FA21" s="36">
        <v>15</v>
      </c>
      <c r="FB21" s="37">
        <f t="shared" si="57"/>
        <v>33.333333333333329</v>
      </c>
      <c r="FC21" s="38">
        <f t="shared" si="58"/>
        <v>10</v>
      </c>
      <c r="FD21" s="37">
        <v>0.05</v>
      </c>
      <c r="FE21" s="37">
        <v>28.850233347475605</v>
      </c>
      <c r="FF21" s="37">
        <v>33.731853116994024</v>
      </c>
      <c r="FG21" s="37">
        <f t="shared" si="59"/>
        <v>116.9205555834631</v>
      </c>
      <c r="FH21" s="38">
        <f t="shared" si="60"/>
        <v>3</v>
      </c>
      <c r="FI21" s="37">
        <v>0.15</v>
      </c>
      <c r="FJ21" s="36">
        <v>6</v>
      </c>
      <c r="FK21" s="37">
        <f t="shared" si="61"/>
        <v>2.5619128949615715</v>
      </c>
      <c r="FL21" s="38">
        <f t="shared" si="62"/>
        <v>3</v>
      </c>
      <c r="FM21" s="37">
        <v>0.05</v>
      </c>
      <c r="FN21" s="36">
        <v>0</v>
      </c>
      <c r="FO21" s="37">
        <f t="shared" si="63"/>
        <v>0</v>
      </c>
      <c r="FP21" s="38">
        <f t="shared" si="64"/>
        <v>8</v>
      </c>
      <c r="FQ21" s="37">
        <v>0.05</v>
      </c>
      <c r="FR21" s="39">
        <f t="shared" si="65"/>
        <v>1.0000000000000002</v>
      </c>
      <c r="FS21" s="75">
        <f t="shared" si="84"/>
        <v>4.9000000000000004</v>
      </c>
      <c r="FT21" s="67">
        <f t="shared" si="85"/>
        <v>4</v>
      </c>
      <c r="FU21" s="30">
        <v>23</v>
      </c>
      <c r="FV21" s="30">
        <v>23</v>
      </c>
      <c r="FW21" s="82">
        <f t="shared" si="66"/>
        <v>100</v>
      </c>
      <c r="FX21" s="67">
        <f t="shared" si="67"/>
        <v>1</v>
      </c>
      <c r="FY21" s="83">
        <v>0.1</v>
      </c>
      <c r="FZ21" s="66">
        <f>22/BE21*1000</f>
        <v>9.3338990241832835</v>
      </c>
      <c r="GA21" s="66">
        <f>21/BF21*1000</f>
        <v>8.9666951323654995</v>
      </c>
      <c r="GB21" s="84">
        <f t="shared" si="68"/>
        <v>96.065911031752194</v>
      </c>
      <c r="GC21" s="38">
        <f t="shared" si="69"/>
        <v>14</v>
      </c>
      <c r="GD21" s="70">
        <v>0.1</v>
      </c>
      <c r="GE21" s="85">
        <v>18</v>
      </c>
      <c r="GF21" s="85">
        <v>18</v>
      </c>
      <c r="GG21" s="37">
        <f t="shared" si="70"/>
        <v>100</v>
      </c>
      <c r="GH21" s="38">
        <v>1</v>
      </c>
      <c r="GI21" s="70">
        <v>0.1</v>
      </c>
      <c r="GJ21" s="36">
        <v>4</v>
      </c>
      <c r="GK21" s="38">
        <f t="shared" si="71"/>
        <v>3</v>
      </c>
      <c r="GL21" s="70">
        <v>0.1</v>
      </c>
      <c r="GM21" s="36">
        <v>0</v>
      </c>
      <c r="GN21" s="37">
        <f t="shared" si="72"/>
        <v>0</v>
      </c>
      <c r="GO21" s="38">
        <f t="shared" si="73"/>
        <v>1</v>
      </c>
      <c r="GP21" s="70">
        <v>0.1</v>
      </c>
      <c r="GQ21" s="86">
        <f t="shared" si="74"/>
        <v>0.5</v>
      </c>
      <c r="GR21" s="75">
        <f t="shared" si="86"/>
        <v>2.0000000000000004</v>
      </c>
      <c r="GS21" s="67">
        <f t="shared" si="87"/>
        <v>7</v>
      </c>
      <c r="GT21" s="87">
        <f t="shared" si="88"/>
        <v>4.95</v>
      </c>
      <c r="GU21" s="88">
        <f t="shared" si="75"/>
        <v>6</v>
      </c>
      <c r="GV21" s="15" t="s">
        <v>19</v>
      </c>
    </row>
    <row r="22" spans="1:204" s="5" customFormat="1" ht="15.6" x14ac:dyDescent="0.3">
      <c r="A22" s="13">
        <v>17</v>
      </c>
      <c r="B22" s="15" t="s">
        <v>18</v>
      </c>
      <c r="C22" s="65">
        <v>21370.7</v>
      </c>
      <c r="D22" s="65">
        <v>23385.61</v>
      </c>
      <c r="E22" s="66">
        <f t="shared" si="0"/>
        <v>109.42837623475133</v>
      </c>
      <c r="F22" s="67">
        <f t="shared" si="1"/>
        <v>7</v>
      </c>
      <c r="G22" s="66">
        <v>0.13</v>
      </c>
      <c r="H22" s="68">
        <v>24006.31</v>
      </c>
      <c r="I22" s="69">
        <v>23385.61</v>
      </c>
      <c r="J22" s="37">
        <f t="shared" si="2"/>
        <v>97.414429789501185</v>
      </c>
      <c r="K22" s="37">
        <f>ABS(J22-K4)</f>
        <v>2.5855702104988154</v>
      </c>
      <c r="L22" s="38">
        <f t="shared" si="3"/>
        <v>7</v>
      </c>
      <c r="M22" s="70">
        <v>0.1</v>
      </c>
      <c r="N22" s="71">
        <v>25084.81</v>
      </c>
      <c r="O22" s="72">
        <f t="shared" si="4"/>
        <v>9196</v>
      </c>
      <c r="P22" s="73">
        <f t="shared" si="5"/>
        <v>2.7277957807742497</v>
      </c>
      <c r="Q22" s="38">
        <f t="shared" si="6"/>
        <v>1</v>
      </c>
      <c r="R22" s="70">
        <v>0.1</v>
      </c>
      <c r="S22" s="71">
        <v>56934.71</v>
      </c>
      <c r="T22" s="71">
        <v>55391.72</v>
      </c>
      <c r="U22" s="37">
        <f t="shared" si="7"/>
        <v>97.289895741982363</v>
      </c>
      <c r="V22" s="38">
        <f t="shared" si="8"/>
        <v>13</v>
      </c>
      <c r="W22" s="70">
        <v>0.1</v>
      </c>
      <c r="X22" s="71">
        <v>45645.120840000003</v>
      </c>
      <c r="Y22" s="71">
        <v>7090.6481299999996</v>
      </c>
      <c r="Z22" s="37">
        <f t="shared" si="9"/>
        <v>15.53429588861178</v>
      </c>
      <c r="AA22" s="67">
        <f t="shared" si="10"/>
        <v>4</v>
      </c>
      <c r="AB22" s="70">
        <v>0.1</v>
      </c>
      <c r="AC22" s="28">
        <v>55391.72</v>
      </c>
      <c r="AD22" s="28">
        <v>12020.4</v>
      </c>
      <c r="AE22" s="66">
        <f t="shared" si="11"/>
        <v>21.700716280339371</v>
      </c>
      <c r="AF22" s="67">
        <f t="shared" si="12"/>
        <v>5</v>
      </c>
      <c r="AG22" s="66">
        <v>0.13</v>
      </c>
      <c r="AH22" s="33">
        <v>0.25</v>
      </c>
      <c r="AI22" s="28">
        <v>56934.71</v>
      </c>
      <c r="AJ22" s="27">
        <f t="shared" si="13"/>
        <v>4.3909945268887822E-4</v>
      </c>
      <c r="AK22" s="45">
        <f t="shared" si="14"/>
        <v>14</v>
      </c>
      <c r="AL22" s="30">
        <v>0.12</v>
      </c>
      <c r="AM22" s="27">
        <v>1.6667000000000001E-2</v>
      </c>
      <c r="AN22" s="28">
        <v>23385.61</v>
      </c>
      <c r="AO22" s="29">
        <f t="shared" si="15"/>
        <v>7.1270323929972324E-5</v>
      </c>
      <c r="AP22" s="45">
        <f t="shared" si="16"/>
        <v>6</v>
      </c>
      <c r="AQ22" s="30">
        <v>0.12</v>
      </c>
      <c r="AR22" s="28">
        <v>0</v>
      </c>
      <c r="AS22" s="28">
        <v>0</v>
      </c>
      <c r="AT22" s="66">
        <v>0</v>
      </c>
      <c r="AU22" s="67">
        <f t="shared" si="17"/>
        <v>5</v>
      </c>
      <c r="AV22" s="30">
        <v>0.05</v>
      </c>
      <c r="AW22" s="28">
        <v>2820018.52</v>
      </c>
      <c r="AX22" s="28">
        <v>1143658.83</v>
      </c>
      <c r="AY22" s="74">
        <f t="shared" si="18"/>
        <v>40.555011319571058</v>
      </c>
      <c r="AZ22" s="67">
        <f t="shared" si="19"/>
        <v>5</v>
      </c>
      <c r="BA22" s="30">
        <v>0.05</v>
      </c>
      <c r="BB22" s="66">
        <f t="shared" si="20"/>
        <v>1</v>
      </c>
      <c r="BC22" s="75">
        <f t="shared" si="76"/>
        <v>6.96</v>
      </c>
      <c r="BD22" s="67">
        <f t="shared" si="77"/>
        <v>6</v>
      </c>
      <c r="BE22" s="72">
        <v>9259</v>
      </c>
      <c r="BF22" s="72">
        <v>9196</v>
      </c>
      <c r="BG22" s="37">
        <f t="shared" si="21"/>
        <v>99.319580948266548</v>
      </c>
      <c r="BH22" s="38">
        <f t="shared" si="22"/>
        <v>14</v>
      </c>
      <c r="BI22" s="37">
        <v>0.12</v>
      </c>
      <c r="BJ22" s="30">
        <v>26</v>
      </c>
      <c r="BK22" s="66">
        <f t="shared" si="23"/>
        <v>1</v>
      </c>
      <c r="BL22" s="67">
        <f t="shared" si="24"/>
        <v>1</v>
      </c>
      <c r="BM22" s="66">
        <v>0.12</v>
      </c>
      <c r="BN22" s="28">
        <v>6556.3</v>
      </c>
      <c r="BO22" s="30">
        <v>16.7</v>
      </c>
      <c r="BP22" s="28">
        <f t="shared" si="25"/>
        <v>32716.067864271459</v>
      </c>
      <c r="BQ22" s="76">
        <f t="shared" si="26"/>
        <v>99.757491444801929</v>
      </c>
      <c r="BR22" s="70">
        <f>ABS(BQ22-BR4)</f>
        <v>0.24250855519807146</v>
      </c>
      <c r="BS22" s="67">
        <f t="shared" si="27"/>
        <v>3</v>
      </c>
      <c r="BT22" s="66">
        <v>0.15</v>
      </c>
      <c r="BU22" s="36">
        <v>35</v>
      </c>
      <c r="BV22" s="36">
        <v>39</v>
      </c>
      <c r="BW22" s="70">
        <f>BU22/BV22*100</f>
        <v>89.743589743589752</v>
      </c>
      <c r="BX22" s="38">
        <f t="shared" si="29"/>
        <v>8</v>
      </c>
      <c r="BY22" s="37">
        <v>0.11</v>
      </c>
      <c r="BZ22" s="36">
        <v>19</v>
      </c>
      <c r="CA22" s="36">
        <v>363</v>
      </c>
      <c r="CB22" s="37">
        <f t="shared" si="30"/>
        <v>5.2341597796143251</v>
      </c>
      <c r="CC22" s="38">
        <f t="shared" si="31"/>
        <v>3</v>
      </c>
      <c r="CD22" s="37">
        <v>0.03</v>
      </c>
      <c r="CE22" s="36">
        <v>6</v>
      </c>
      <c r="CF22" s="36">
        <v>6</v>
      </c>
      <c r="CG22" s="37">
        <f t="shared" si="32"/>
        <v>100</v>
      </c>
      <c r="CH22" s="38">
        <f t="shared" si="33"/>
        <v>1</v>
      </c>
      <c r="CI22" s="37">
        <v>7.0000000000000007E-2</v>
      </c>
      <c r="CJ22" s="36">
        <v>0</v>
      </c>
      <c r="CK22" s="37">
        <f t="shared" si="34"/>
        <v>0</v>
      </c>
      <c r="CL22" s="38">
        <f t="shared" si="35"/>
        <v>2</v>
      </c>
      <c r="CM22" s="70">
        <v>0.1</v>
      </c>
      <c r="CN22" s="70">
        <f t="shared" si="36"/>
        <v>0.70000000000000007</v>
      </c>
      <c r="CO22" s="75">
        <f t="shared" si="78"/>
        <v>3.4899999999999998</v>
      </c>
      <c r="CP22" s="67">
        <f t="shared" si="79"/>
        <v>1</v>
      </c>
      <c r="CQ22" s="77"/>
      <c r="CR22" s="77"/>
      <c r="CS22" s="66">
        <v>99.9</v>
      </c>
      <c r="CT22" s="67">
        <f t="shared" si="37"/>
        <v>4</v>
      </c>
      <c r="CU22" s="66">
        <v>0.06</v>
      </c>
      <c r="CV22" s="66">
        <v>0</v>
      </c>
      <c r="CW22" s="67">
        <f t="shared" si="38"/>
        <v>1</v>
      </c>
      <c r="CX22" s="66">
        <v>0.02</v>
      </c>
      <c r="CY22" s="72"/>
      <c r="CZ22" s="72"/>
      <c r="DA22" s="78">
        <v>1.6999999999999999E-3</v>
      </c>
      <c r="DB22" s="38">
        <f t="shared" si="39"/>
        <v>14</v>
      </c>
      <c r="DC22" s="37">
        <v>0.02</v>
      </c>
      <c r="DD22" s="78">
        <v>0</v>
      </c>
      <c r="DE22" s="38">
        <f t="shared" si="40"/>
        <v>1</v>
      </c>
      <c r="DF22" s="70">
        <v>0.2</v>
      </c>
      <c r="DG22" s="66">
        <v>88.534522418611033</v>
      </c>
      <c r="DH22" s="38">
        <f t="shared" si="41"/>
        <v>4</v>
      </c>
      <c r="DI22" s="70">
        <v>0.1</v>
      </c>
      <c r="DJ22" s="36">
        <v>4</v>
      </c>
      <c r="DK22" s="38">
        <f t="shared" si="42"/>
        <v>5</v>
      </c>
      <c r="DL22" s="70">
        <v>0.2</v>
      </c>
      <c r="DM22" s="70">
        <f t="shared" si="43"/>
        <v>0.60000000000000009</v>
      </c>
      <c r="DN22" s="75">
        <f t="shared" si="80"/>
        <v>2.14</v>
      </c>
      <c r="DO22" s="67">
        <f t="shared" si="81"/>
        <v>2</v>
      </c>
      <c r="DP22" s="72">
        <v>2</v>
      </c>
      <c r="DQ22" s="37">
        <v>0.6</v>
      </c>
      <c r="DR22" s="38">
        <f t="shared" si="44"/>
        <v>13</v>
      </c>
      <c r="DS22" s="70">
        <v>0.1</v>
      </c>
      <c r="DT22" s="36">
        <v>1</v>
      </c>
      <c r="DU22" s="38">
        <f t="shared" si="45"/>
        <v>1</v>
      </c>
      <c r="DV22" s="37">
        <v>0.15</v>
      </c>
      <c r="DW22" s="36"/>
      <c r="DX22" s="36"/>
      <c r="DY22" s="36" t="e">
        <f t="shared" si="46"/>
        <v>#DIV/0!</v>
      </c>
      <c r="DZ22" s="38" t="e">
        <f t="shared" si="47"/>
        <v>#DIV/0!</v>
      </c>
      <c r="EA22" s="37">
        <v>0.05</v>
      </c>
      <c r="EB22" s="37">
        <f t="shared" si="48"/>
        <v>0.3</v>
      </c>
      <c r="EC22" s="75">
        <f t="shared" si="82"/>
        <v>1.45</v>
      </c>
      <c r="ED22" s="67">
        <f t="shared" si="83"/>
        <v>8</v>
      </c>
      <c r="EE22" s="79">
        <v>72</v>
      </c>
      <c r="EF22" s="79">
        <v>78</v>
      </c>
      <c r="EG22" s="80">
        <f t="shared" si="49"/>
        <v>92.307692307692307</v>
      </c>
      <c r="EH22" s="81">
        <f t="shared" si="50"/>
        <v>17</v>
      </c>
      <c r="EI22" s="66">
        <v>0.2</v>
      </c>
      <c r="EJ22" s="82">
        <v>45.4</v>
      </c>
      <c r="EK22" s="38">
        <f t="shared" si="51"/>
        <v>15</v>
      </c>
      <c r="EL22" s="37">
        <v>0.2</v>
      </c>
      <c r="EM22" s="36">
        <v>26</v>
      </c>
      <c r="EN22" s="37">
        <f t="shared" si="52"/>
        <v>100</v>
      </c>
      <c r="EO22" s="38">
        <f t="shared" si="53"/>
        <v>1</v>
      </c>
      <c r="EP22" s="70">
        <v>0.1</v>
      </c>
      <c r="EQ22" s="36">
        <v>1</v>
      </c>
      <c r="ER22" s="38">
        <f t="shared" si="54"/>
        <v>1</v>
      </c>
      <c r="ES22" s="37">
        <v>0.05</v>
      </c>
      <c r="ET22" s="36">
        <v>1</v>
      </c>
      <c r="EU22" s="38">
        <f t="shared" si="55"/>
        <v>1</v>
      </c>
      <c r="EV22" s="37">
        <v>0.05</v>
      </c>
      <c r="EW22" s="36">
        <v>3</v>
      </c>
      <c r="EX22" s="38">
        <f t="shared" si="56"/>
        <v>6</v>
      </c>
      <c r="EY22" s="37">
        <v>0.1</v>
      </c>
      <c r="EZ22" s="36">
        <v>1</v>
      </c>
      <c r="FA22" s="36">
        <v>16</v>
      </c>
      <c r="FB22" s="37">
        <f t="shared" si="57"/>
        <v>6.25</v>
      </c>
      <c r="FC22" s="38">
        <f t="shared" si="58"/>
        <v>4</v>
      </c>
      <c r="FD22" s="37">
        <v>0.05</v>
      </c>
      <c r="FE22" s="37">
        <v>21.276595744680851</v>
      </c>
      <c r="FF22" s="37">
        <v>21.74858634188778</v>
      </c>
      <c r="FG22" s="37">
        <f t="shared" si="59"/>
        <v>102.21835580687258</v>
      </c>
      <c r="FH22" s="38">
        <f t="shared" si="60"/>
        <v>10</v>
      </c>
      <c r="FI22" s="37">
        <v>0.15</v>
      </c>
      <c r="FJ22" s="36">
        <v>3</v>
      </c>
      <c r="FK22" s="37">
        <f t="shared" si="61"/>
        <v>0.32622879512831665</v>
      </c>
      <c r="FL22" s="38">
        <f t="shared" si="62"/>
        <v>11</v>
      </c>
      <c r="FM22" s="37">
        <v>0.05</v>
      </c>
      <c r="FN22" s="36">
        <v>0</v>
      </c>
      <c r="FO22" s="37">
        <f t="shared" si="63"/>
        <v>0</v>
      </c>
      <c r="FP22" s="38">
        <f t="shared" si="64"/>
        <v>8</v>
      </c>
      <c r="FQ22" s="37">
        <v>0.05</v>
      </c>
      <c r="FR22" s="39">
        <f t="shared" si="65"/>
        <v>1.0000000000000002</v>
      </c>
      <c r="FS22" s="75">
        <f t="shared" si="84"/>
        <v>9.85</v>
      </c>
      <c r="FT22" s="67">
        <f t="shared" si="85"/>
        <v>16</v>
      </c>
      <c r="FU22" s="30">
        <v>32</v>
      </c>
      <c r="FV22" s="30">
        <v>32</v>
      </c>
      <c r="FW22" s="82">
        <f t="shared" si="66"/>
        <v>100</v>
      </c>
      <c r="FX22" s="67">
        <f t="shared" si="67"/>
        <v>1</v>
      </c>
      <c r="FY22" s="83">
        <v>0.1</v>
      </c>
      <c r="FZ22" s="66">
        <f>145/BE22*1000</f>
        <v>15.660438492277784</v>
      </c>
      <c r="GA22" s="66">
        <f>105/BF22*1000</f>
        <v>11.418007829491083</v>
      </c>
      <c r="GB22" s="84">
        <f t="shared" si="68"/>
        <v>72.909885857419269</v>
      </c>
      <c r="GC22" s="38">
        <f t="shared" si="69"/>
        <v>4</v>
      </c>
      <c r="GD22" s="70">
        <v>0.1</v>
      </c>
      <c r="GE22" s="85">
        <v>43</v>
      </c>
      <c r="GF22" s="85">
        <v>43</v>
      </c>
      <c r="GG22" s="37">
        <f t="shared" si="70"/>
        <v>100</v>
      </c>
      <c r="GH22" s="38">
        <v>1</v>
      </c>
      <c r="GI22" s="70">
        <v>0.1</v>
      </c>
      <c r="GJ22" s="36">
        <v>16</v>
      </c>
      <c r="GK22" s="38">
        <f t="shared" si="71"/>
        <v>13</v>
      </c>
      <c r="GL22" s="70">
        <v>0.1</v>
      </c>
      <c r="GM22" s="36">
        <v>0</v>
      </c>
      <c r="GN22" s="37">
        <f t="shared" si="72"/>
        <v>0</v>
      </c>
      <c r="GO22" s="38">
        <f t="shared" si="73"/>
        <v>1</v>
      </c>
      <c r="GP22" s="70">
        <v>0.1</v>
      </c>
      <c r="GQ22" s="86">
        <f t="shared" si="74"/>
        <v>0.5</v>
      </c>
      <c r="GR22" s="75">
        <f t="shared" si="86"/>
        <v>2</v>
      </c>
      <c r="GS22" s="67">
        <f t="shared" si="87"/>
        <v>6</v>
      </c>
      <c r="GT22" s="87">
        <f t="shared" si="88"/>
        <v>4.8833333333333337</v>
      </c>
      <c r="GU22" s="88">
        <f t="shared" si="75"/>
        <v>4</v>
      </c>
      <c r="GV22" s="15" t="s">
        <v>18</v>
      </c>
    </row>
    <row r="23" spans="1:204" s="5" customFormat="1" ht="13.2" x14ac:dyDescent="0.25">
      <c r="A23" s="12"/>
      <c r="B23" s="16" t="s">
        <v>20</v>
      </c>
      <c r="C23" s="32">
        <f>SUM(C6:C22)</f>
        <v>528781.40999999992</v>
      </c>
      <c r="D23" s="32">
        <f>SUM(D6:D22)</f>
        <v>587379.81999999995</v>
      </c>
      <c r="E23" s="96">
        <f t="shared" si="0"/>
        <v>111.08178330248033</v>
      </c>
      <c r="F23" s="96"/>
      <c r="G23" s="66">
        <v>0.13</v>
      </c>
      <c r="H23" s="97">
        <f>SUM(H6:H22)</f>
        <v>581268.45000000007</v>
      </c>
      <c r="I23" s="97">
        <f>SUM(I6:I22)</f>
        <v>587379.81999999995</v>
      </c>
      <c r="J23" s="39">
        <f t="shared" si="2"/>
        <v>101.05138512162493</v>
      </c>
      <c r="K23" s="39"/>
      <c r="L23" s="39"/>
      <c r="M23" s="39"/>
      <c r="N23" s="97">
        <f>SUM(N6:N22)</f>
        <v>141158.76</v>
      </c>
      <c r="O23" s="98">
        <f>SUM(O6:O22)</f>
        <v>112643</v>
      </c>
      <c r="P23" s="99">
        <f t="shared" si="5"/>
        <v>1.2531516383619046</v>
      </c>
      <c r="Q23" s="39"/>
      <c r="R23" s="39"/>
      <c r="S23" s="97">
        <f>SUM(S6:S22)</f>
        <v>871533.04500000016</v>
      </c>
      <c r="T23" s="97">
        <f>SUM(T6:T22)</f>
        <v>849668.87000000011</v>
      </c>
      <c r="U23" s="39">
        <f t="shared" si="7"/>
        <v>97.491297074111515</v>
      </c>
      <c r="V23" s="39"/>
      <c r="W23" s="39"/>
      <c r="X23" s="97">
        <f>SUM(X6:X22)</f>
        <v>708949.08404999995</v>
      </c>
      <c r="Y23" s="97">
        <f>SUM(Y6:Y22)</f>
        <v>124920.64592999998</v>
      </c>
      <c r="Z23" s="39">
        <f t="shared" si="9"/>
        <v>17.620538447749755</v>
      </c>
      <c r="AA23" s="38"/>
      <c r="AB23" s="36"/>
      <c r="AC23" s="100">
        <f>SUM(AC6:AC22)</f>
        <v>849668.87000000011</v>
      </c>
      <c r="AD23" s="100">
        <f>SUM(AD6:AD22)</f>
        <v>218296.60000000003</v>
      </c>
      <c r="AE23" s="96">
        <f t="shared" si="11"/>
        <v>25.69196162264954</v>
      </c>
      <c r="AF23" s="96"/>
      <c r="AG23" s="96"/>
      <c r="AH23" s="31">
        <f>SUM(AH6:AH22)</f>
        <v>78.776020000000017</v>
      </c>
      <c r="AI23" s="32">
        <f>SUM(AI6:AI22)</f>
        <v>871533.04500000016</v>
      </c>
      <c r="AJ23" s="34">
        <f t="shared" si="13"/>
        <v>9.0387875080514025E-3</v>
      </c>
      <c r="AK23" s="31"/>
      <c r="AL23" s="31"/>
      <c r="AM23" s="31"/>
      <c r="AN23" s="32">
        <f>SUM(AN6:AN22)</f>
        <v>587379.81999999995</v>
      </c>
      <c r="AO23" s="31">
        <v>4.0699999999999998E-3</v>
      </c>
      <c r="AP23" s="31"/>
      <c r="AQ23" s="31"/>
      <c r="AR23" s="32">
        <f>SUM(AR6:AR22)</f>
        <v>114655</v>
      </c>
      <c r="AS23" s="32">
        <f>SUM(AS6:AS22)</f>
        <v>418</v>
      </c>
      <c r="AT23" s="31"/>
      <c r="AU23" s="31"/>
      <c r="AV23" s="31"/>
      <c r="AW23" s="100">
        <f>SUM(AW6:AW22)</f>
        <v>28432700.019999996</v>
      </c>
      <c r="AX23" s="100">
        <f>SUM(AX6:AX22)</f>
        <v>3959544.0300000003</v>
      </c>
      <c r="AY23" s="31"/>
      <c r="AZ23" s="31"/>
      <c r="BA23" s="31"/>
      <c r="BB23" s="31"/>
      <c r="BC23" s="31"/>
      <c r="BD23" s="31"/>
      <c r="BE23" s="98">
        <f>SUM(BE6:BE22)</f>
        <v>110366</v>
      </c>
      <c r="BF23" s="98">
        <f>SUM(BF6:BF22)</f>
        <v>112643</v>
      </c>
      <c r="BG23" s="39">
        <f t="shared" si="21"/>
        <v>102.06313538589784</v>
      </c>
      <c r="BH23" s="39"/>
      <c r="BI23" s="39"/>
      <c r="BJ23" s="67">
        <f>SUM(BJ6:BJ22)</f>
        <v>311</v>
      </c>
      <c r="BK23" s="67">
        <v>26</v>
      </c>
      <c r="BL23" s="96"/>
      <c r="BM23" s="96"/>
      <c r="BN23" s="32">
        <f>SUM(BN6:BN22)</f>
        <v>92825.5</v>
      </c>
      <c r="BO23" s="96">
        <f>SUM(BO6:BO22)</f>
        <v>230</v>
      </c>
      <c r="BP23" s="32">
        <f t="shared" si="25"/>
        <v>33632.42753623188</v>
      </c>
      <c r="BQ23" s="101">
        <f t="shared" si="26"/>
        <v>102.55164575806475</v>
      </c>
      <c r="BR23" s="86">
        <f>ABS(BQ23-BR4)</f>
        <v>2.5516457580647511</v>
      </c>
      <c r="BS23" s="96"/>
      <c r="BT23" s="96"/>
      <c r="BU23" s="38">
        <f>SUM(BU6:BU22)</f>
        <v>177</v>
      </c>
      <c r="BV23" s="38">
        <f>SUM(BV6:BV22)</f>
        <v>183.1</v>
      </c>
      <c r="BW23" s="38">
        <f>BU23/BV23*100</f>
        <v>96.668487165483342</v>
      </c>
      <c r="BX23" s="38"/>
      <c r="BY23" s="38"/>
      <c r="BZ23" s="38">
        <f>SUM(BZ6:BZ22)</f>
        <v>131</v>
      </c>
      <c r="CA23" s="38">
        <f>SUM(CA6:CA22)</f>
        <v>5284</v>
      </c>
      <c r="CB23" s="39">
        <f t="shared" si="30"/>
        <v>2.4791824375473124</v>
      </c>
      <c r="CC23" s="38"/>
      <c r="CD23" s="38"/>
      <c r="CE23" s="38">
        <f>SUM(CE6:CE22)</f>
        <v>64</v>
      </c>
      <c r="CF23" s="38">
        <f>SUM(CF6:CF22)</f>
        <v>70</v>
      </c>
      <c r="CG23" s="39">
        <f t="shared" si="32"/>
        <v>91.428571428571431</v>
      </c>
      <c r="CH23" s="39"/>
      <c r="CI23" s="39"/>
      <c r="CJ23" s="39"/>
      <c r="CK23" s="39"/>
      <c r="CL23" s="39"/>
      <c r="CM23" s="39"/>
      <c r="CN23" s="39"/>
      <c r="CO23" s="31"/>
      <c r="CP23" s="31"/>
      <c r="CQ23" s="102">
        <f>SUM(CQ6:CQ22)</f>
        <v>0</v>
      </c>
      <c r="CR23" s="102">
        <f>SUM(CR6:CR22)</f>
        <v>0</v>
      </c>
      <c r="CS23" s="96"/>
      <c r="CT23" s="96"/>
      <c r="CU23" s="96"/>
      <c r="CV23" s="96">
        <f>SUM(CV6:CV22)</f>
        <v>20.16</v>
      </c>
      <c r="CW23" s="96"/>
      <c r="CX23" s="96"/>
      <c r="CY23" s="98">
        <f>SUM(CY6:CY22)</f>
        <v>0</v>
      </c>
      <c r="CZ23" s="98">
        <f>SUM(CZ6:CZ22)</f>
        <v>0</v>
      </c>
      <c r="DA23" s="103"/>
      <c r="DB23" s="39"/>
      <c r="DC23" s="39"/>
      <c r="DD23" s="99">
        <f>SUM(DD6:DD22)</f>
        <v>9.4510000000000005</v>
      </c>
      <c r="DE23" s="39"/>
      <c r="DF23" s="39"/>
      <c r="DG23" s="39"/>
      <c r="DH23" s="39"/>
      <c r="DI23" s="39"/>
      <c r="DJ23" s="39"/>
      <c r="DK23" s="39"/>
      <c r="DL23" s="39"/>
      <c r="DM23" s="39"/>
      <c r="DN23" s="31"/>
      <c r="DO23" s="31"/>
      <c r="DP23" s="98">
        <v>3</v>
      </c>
      <c r="DQ23" s="39">
        <f>DP23/BF23*100</f>
        <v>2.6632813401631702E-3</v>
      </c>
      <c r="DR23" s="39"/>
      <c r="DS23" s="39"/>
      <c r="DT23" s="38">
        <f>SUM(DT6:DT22)</f>
        <v>10</v>
      </c>
      <c r="DU23" s="39"/>
      <c r="DV23" s="39"/>
      <c r="DW23" s="39"/>
      <c r="DX23" s="39"/>
      <c r="DY23" s="39"/>
      <c r="DZ23" s="39"/>
      <c r="EA23" s="39"/>
      <c r="EB23" s="39"/>
      <c r="EC23" s="31"/>
      <c r="ED23" s="31"/>
      <c r="EE23" s="38">
        <f>SUM(EE6:EE22)</f>
        <v>1191</v>
      </c>
      <c r="EF23" s="38">
        <f>SUM(EF6:EF22)</f>
        <v>1220</v>
      </c>
      <c r="EG23" s="80">
        <f t="shared" si="49"/>
        <v>97.622950819672127</v>
      </c>
      <c r="EH23" s="104"/>
      <c r="EI23" s="96"/>
      <c r="EJ23" s="75">
        <f>SUM(EJ6:EJ22)/17</f>
        <v>52.01764705882352</v>
      </c>
      <c r="EK23" s="38"/>
      <c r="EL23" s="36"/>
      <c r="EM23" s="38">
        <v>26</v>
      </c>
      <c r="EN23" s="39">
        <v>100</v>
      </c>
      <c r="EO23" s="39"/>
      <c r="EP23" s="39"/>
      <c r="EQ23" s="39">
        <f>SUM(EQ6:EQ22)/17</f>
        <v>1</v>
      </c>
      <c r="ER23" s="39"/>
      <c r="ES23" s="39"/>
      <c r="ET23" s="39">
        <v>1</v>
      </c>
      <c r="EU23" s="39"/>
      <c r="EV23" s="39"/>
      <c r="EW23" s="38">
        <f>SUM(EW6:EW22)</f>
        <v>49</v>
      </c>
      <c r="EX23" s="39"/>
      <c r="EY23" s="39"/>
      <c r="EZ23" s="38">
        <f>SUM(EZ6:EZ22)</f>
        <v>84</v>
      </c>
      <c r="FA23" s="38">
        <f>SUM(FA6:FA22)</f>
        <v>240</v>
      </c>
      <c r="FB23" s="39">
        <f t="shared" si="57"/>
        <v>35</v>
      </c>
      <c r="FC23" s="39"/>
      <c r="FD23" s="39"/>
      <c r="FE23" s="39">
        <v>36.161499012377</v>
      </c>
      <c r="FF23" s="39">
        <v>40.055751356054081</v>
      </c>
      <c r="FG23" s="39"/>
      <c r="FH23" s="39"/>
      <c r="FI23" s="39"/>
      <c r="FJ23" s="38">
        <f>SUM(FJ6:FJ22)</f>
        <v>280</v>
      </c>
      <c r="FK23" s="39">
        <v>2.15</v>
      </c>
      <c r="FL23" s="39"/>
      <c r="FM23" s="39"/>
      <c r="FN23" s="39">
        <f>SUM(FN6:FN22)</f>
        <v>250</v>
      </c>
      <c r="FO23" s="39">
        <f>SUM(FO6:FO22)</f>
        <v>23.870358369457215</v>
      </c>
      <c r="FP23" s="39"/>
      <c r="FQ23" s="39"/>
      <c r="FR23" s="39"/>
      <c r="FS23" s="102"/>
      <c r="FT23" s="102"/>
      <c r="FU23" s="67">
        <f>SUM(FU6:FU22)</f>
        <v>675</v>
      </c>
      <c r="FV23" s="67">
        <f>SUM(FV6:FV22)</f>
        <v>675</v>
      </c>
      <c r="FW23" s="45">
        <v>100</v>
      </c>
      <c r="FX23" s="30"/>
      <c r="FY23" s="30"/>
      <c r="FZ23" s="39">
        <f>SUM(FZ6:FZ22)</f>
        <v>265.71272591826073</v>
      </c>
      <c r="GA23" s="105">
        <f>SUM(GA6:GA22)</f>
        <v>215.15620649250442</v>
      </c>
      <c r="GB23" s="39">
        <f t="shared" si="68"/>
        <v>80.973241213404052</v>
      </c>
      <c r="GC23" s="39"/>
      <c r="GD23" s="39"/>
      <c r="GE23" s="106">
        <f>SUM(GE6:GE22)</f>
        <v>511</v>
      </c>
      <c r="GF23" s="106">
        <f>SUM(GF6:GF22)</f>
        <v>511</v>
      </c>
      <c r="GG23" s="39">
        <f t="shared" si="70"/>
        <v>100</v>
      </c>
      <c r="GH23" s="39"/>
      <c r="GI23" s="39"/>
      <c r="GJ23" s="38">
        <f>SUM(GJ6:GJ22)</f>
        <v>199</v>
      </c>
      <c r="GK23" s="38"/>
      <c r="GL23" s="39"/>
      <c r="GM23" s="38">
        <f>SUM(GM6:GM22)</f>
        <v>22</v>
      </c>
      <c r="GN23" s="39">
        <f t="shared" si="72"/>
        <v>0.1953072982786325</v>
      </c>
      <c r="GO23" s="39"/>
      <c r="GP23" s="39"/>
      <c r="GQ23" s="39"/>
      <c r="GR23" s="107"/>
      <c r="GS23" s="107"/>
      <c r="GT23" s="108"/>
      <c r="GU23" s="108"/>
      <c r="GV23" s="16" t="s">
        <v>20</v>
      </c>
    </row>
    <row r="24" spans="1:204" s="4" customFormat="1" ht="12" x14ac:dyDescent="0.25">
      <c r="C24" s="4" t="s">
        <v>71</v>
      </c>
      <c r="F24" s="17"/>
      <c r="H24" s="3"/>
      <c r="I24" s="3"/>
      <c r="J24" s="3"/>
      <c r="K24" s="3"/>
      <c r="L24" s="43"/>
      <c r="M24" s="3"/>
      <c r="N24" s="3"/>
      <c r="O24" s="3"/>
      <c r="P24" s="3"/>
      <c r="Q24" s="43"/>
      <c r="R24" s="3"/>
      <c r="S24" s="3"/>
      <c r="T24" s="3"/>
      <c r="U24" s="3"/>
      <c r="V24" s="43"/>
      <c r="W24" s="3"/>
      <c r="X24" s="3"/>
      <c r="Y24" s="3"/>
      <c r="Z24" s="3"/>
      <c r="AA24" s="43"/>
      <c r="AB24" s="3"/>
      <c r="AF24" s="17"/>
      <c r="AK24" s="46"/>
      <c r="AL24" s="5"/>
      <c r="AM24" s="5"/>
      <c r="AN24" s="5"/>
      <c r="AO24" s="5"/>
      <c r="AP24" s="46"/>
      <c r="AQ24" s="5"/>
      <c r="AR24" s="5"/>
      <c r="AS24" s="5"/>
      <c r="AT24" s="5"/>
      <c r="AU24" s="46"/>
      <c r="AV24" s="5"/>
      <c r="AW24" s="5"/>
      <c r="AX24" s="5"/>
      <c r="AY24" s="5"/>
      <c r="AZ24" s="5"/>
      <c r="BA24" s="5"/>
      <c r="BB24" s="5"/>
      <c r="BC24" s="46"/>
      <c r="BD24" s="46"/>
      <c r="BE24" s="5"/>
      <c r="BF24" s="5"/>
      <c r="BH24" s="17"/>
      <c r="BL24" s="17"/>
      <c r="BQ24" s="17"/>
      <c r="BR24" s="17"/>
      <c r="BS24" s="17"/>
      <c r="BU24" s="3"/>
      <c r="BV24" s="3"/>
      <c r="BX24" s="17"/>
      <c r="CC24" s="17"/>
      <c r="CH24" s="17"/>
      <c r="CL24" s="17"/>
      <c r="CO24" s="17"/>
      <c r="CP24" s="17"/>
      <c r="CT24" s="17"/>
      <c r="CW24" s="17"/>
      <c r="DB24" s="17"/>
      <c r="DE24" s="17"/>
      <c r="DH24" s="17"/>
      <c r="DK24" s="17"/>
      <c r="DN24" s="17"/>
      <c r="DO24" s="17"/>
      <c r="DR24" s="17"/>
      <c r="DU24" s="17"/>
      <c r="DZ24" s="17"/>
      <c r="EC24" s="17"/>
      <c r="ED24" s="17"/>
    </row>
    <row r="25" spans="1:204" ht="10.5" customHeight="1" x14ac:dyDescent="0.25">
      <c r="C25" s="3" t="s">
        <v>68</v>
      </c>
      <c r="BC25" s="42"/>
      <c r="BD25" s="46"/>
      <c r="BE25" s="1"/>
      <c r="BF25" s="1"/>
    </row>
    <row r="26" spans="1:204" ht="12" x14ac:dyDescent="0.25">
      <c r="C26" s="3" t="s">
        <v>69</v>
      </c>
      <c r="BC26" s="42"/>
      <c r="BD26" s="46"/>
      <c r="BE26" s="1"/>
      <c r="BF26" s="1"/>
    </row>
    <row r="27" spans="1:204" ht="14.4" x14ac:dyDescent="0.3">
      <c r="C27" s="3" t="s">
        <v>70</v>
      </c>
      <c r="BC27" s="42"/>
      <c r="BD27" s="46"/>
      <c r="BE27" s="1"/>
      <c r="BF27" s="1"/>
      <c r="CZ27" s="135"/>
      <c r="DA27" s="136"/>
    </row>
    <row r="28" spans="1:204" ht="14.4" x14ac:dyDescent="0.3">
      <c r="AH28" s="135"/>
      <c r="AI28" s="136"/>
      <c r="AJ28" s="136"/>
      <c r="AK28" s="136"/>
      <c r="AL28" s="21"/>
      <c r="AM28" s="8"/>
      <c r="AN28" s="8"/>
      <c r="AO28" s="8"/>
      <c r="AP28" s="47"/>
      <c r="AQ28" s="21"/>
      <c r="AR28" s="21"/>
      <c r="AS28" s="21"/>
      <c r="AT28" s="21"/>
      <c r="AU28" s="47"/>
      <c r="AV28" s="21"/>
      <c r="AW28" s="21"/>
      <c r="AX28" s="21"/>
      <c r="AY28" s="21"/>
      <c r="AZ28" s="21"/>
      <c r="BA28" s="21"/>
      <c r="BB28" s="21"/>
      <c r="BC28" s="42"/>
      <c r="BD28" s="46"/>
      <c r="BE28" s="1"/>
      <c r="BF28" s="1"/>
    </row>
    <row r="29" spans="1:204" ht="12" x14ac:dyDescent="0.25">
      <c r="BC29" s="42"/>
      <c r="BD29" s="46"/>
      <c r="BE29" s="1"/>
      <c r="BF29" s="1"/>
    </row>
    <row r="30" spans="1:204" ht="12" x14ac:dyDescent="0.25">
      <c r="BC30" s="42"/>
      <c r="BD30" s="46"/>
      <c r="BE30" s="1"/>
      <c r="BF30" s="1"/>
    </row>
    <row r="31" spans="1:204" ht="12" x14ac:dyDescent="0.25">
      <c r="F31" s="3"/>
      <c r="L31" s="3"/>
      <c r="Q31" s="3"/>
      <c r="V31" s="3"/>
      <c r="AA31" s="3"/>
      <c r="AF31" s="3"/>
      <c r="AK31" s="3"/>
      <c r="AP31" s="3"/>
      <c r="AU31" s="3"/>
      <c r="BC31" s="42"/>
      <c r="BD31" s="46"/>
      <c r="BE31" s="1"/>
      <c r="BF31" s="1"/>
      <c r="BH31" s="3"/>
      <c r="BL31" s="3"/>
      <c r="BS31" s="3"/>
      <c r="BT31" s="3"/>
      <c r="BX31" s="3"/>
      <c r="CC31" s="3"/>
      <c r="CH31" s="3"/>
      <c r="CL31" s="3"/>
      <c r="CO31" s="3"/>
      <c r="CP31" s="3"/>
      <c r="CT31" s="3"/>
      <c r="CW31" s="3"/>
      <c r="DB31" s="3"/>
      <c r="DE31" s="3"/>
      <c r="DH31" s="3"/>
      <c r="DI31" s="3"/>
      <c r="DJ31" s="3"/>
      <c r="DK31" s="3"/>
      <c r="DL31" s="3"/>
      <c r="DM31" s="3"/>
      <c r="DN31" s="3"/>
      <c r="DO31" s="3"/>
      <c r="DR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H31" s="3"/>
      <c r="EI31" s="3"/>
      <c r="EX31" s="3"/>
      <c r="EY31" s="3"/>
      <c r="FE31" s="3"/>
      <c r="FF31" s="3"/>
      <c r="FG31" s="3"/>
      <c r="FH31" s="3"/>
      <c r="FI31" s="3"/>
      <c r="FL31" s="3"/>
      <c r="FM31" s="3"/>
      <c r="FN31" s="3"/>
      <c r="FO31" s="3"/>
      <c r="FP31" s="3"/>
      <c r="FQ31" s="3"/>
      <c r="FR31" s="3"/>
      <c r="FT31" s="3"/>
      <c r="GS31" s="3"/>
      <c r="GT31" s="3"/>
      <c r="GU31" s="3"/>
    </row>
    <row r="32" spans="1:204" ht="12" x14ac:dyDescent="0.25">
      <c r="F32" s="3"/>
      <c r="L32" s="3"/>
      <c r="Q32" s="3"/>
      <c r="V32" s="3"/>
      <c r="AA32" s="3"/>
      <c r="AF32" s="3"/>
      <c r="AK32" s="3"/>
      <c r="AP32" s="3"/>
      <c r="AU32" s="3"/>
      <c r="BC32" s="42"/>
      <c r="BD32" s="46"/>
      <c r="BE32" s="1"/>
      <c r="BF32" s="1"/>
      <c r="BH32" s="3"/>
      <c r="BL32" s="3"/>
      <c r="BS32" s="3"/>
      <c r="BT32" s="3"/>
      <c r="BX32" s="3"/>
      <c r="CC32" s="3"/>
      <c r="CH32" s="3"/>
      <c r="CL32" s="3"/>
      <c r="CO32" s="3"/>
      <c r="CP32" s="3"/>
      <c r="CT32" s="3"/>
      <c r="CW32" s="3"/>
      <c r="DB32" s="3"/>
      <c r="DE32" s="3"/>
      <c r="DH32" s="3"/>
      <c r="DI32" s="3"/>
      <c r="DJ32" s="3"/>
      <c r="DK32" s="3"/>
      <c r="DL32" s="3"/>
      <c r="DM32" s="3"/>
      <c r="DN32" s="3"/>
      <c r="DO32" s="3"/>
      <c r="DR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H32" s="3"/>
      <c r="EI32" s="3"/>
      <c r="EX32" s="3"/>
      <c r="EY32" s="3"/>
      <c r="FE32" s="3"/>
      <c r="FF32" s="3"/>
      <c r="FG32" s="3"/>
      <c r="FH32" s="3"/>
      <c r="FI32" s="3"/>
      <c r="FL32" s="3"/>
      <c r="FM32" s="3"/>
      <c r="FN32" s="3"/>
      <c r="FO32" s="3"/>
      <c r="FP32" s="3"/>
      <c r="FQ32" s="3"/>
      <c r="FR32" s="3"/>
      <c r="FT32" s="3"/>
      <c r="GS32" s="3"/>
      <c r="GT32" s="3"/>
      <c r="GU32" s="3"/>
    </row>
    <row r="33" spans="6:203" ht="12" x14ac:dyDescent="0.25">
      <c r="F33" s="3"/>
      <c r="L33" s="3"/>
      <c r="Q33" s="3"/>
      <c r="V33" s="3"/>
      <c r="AA33" s="3"/>
      <c r="AF33" s="3"/>
      <c r="AK33" s="3"/>
      <c r="AP33" s="3"/>
      <c r="AU33" s="3"/>
      <c r="BC33" s="42"/>
      <c r="BD33" s="46"/>
      <c r="BE33" s="1"/>
      <c r="BF33" s="1"/>
      <c r="BH33" s="3"/>
      <c r="BL33" s="3"/>
      <c r="BS33" s="3"/>
      <c r="BT33" s="3"/>
      <c r="BX33" s="3"/>
      <c r="CC33" s="3"/>
      <c r="CH33" s="3"/>
      <c r="CL33" s="3"/>
      <c r="CO33" s="3"/>
      <c r="CP33" s="3"/>
      <c r="CT33" s="3"/>
      <c r="CW33" s="3"/>
      <c r="DB33" s="3"/>
      <c r="DE33" s="3"/>
      <c r="DH33" s="3"/>
      <c r="DI33" s="3"/>
      <c r="DJ33" s="3"/>
      <c r="DK33" s="3"/>
      <c r="DL33" s="3"/>
      <c r="DM33" s="3"/>
      <c r="DN33" s="3"/>
      <c r="DO33" s="3"/>
      <c r="DR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H33" s="3"/>
      <c r="EI33" s="3"/>
      <c r="EX33" s="3"/>
      <c r="EY33" s="3"/>
      <c r="FE33" s="3"/>
      <c r="FF33" s="3"/>
      <c r="FG33" s="3"/>
      <c r="FH33" s="3"/>
      <c r="FI33" s="3"/>
      <c r="FL33" s="3"/>
      <c r="FM33" s="3"/>
      <c r="FN33" s="3"/>
      <c r="FO33" s="3"/>
      <c r="FP33" s="3"/>
      <c r="FQ33" s="3"/>
      <c r="FR33" s="3"/>
      <c r="FT33" s="3"/>
      <c r="GS33" s="3"/>
      <c r="GT33" s="3"/>
      <c r="GU33" s="3"/>
    </row>
    <row r="34" spans="6:203" ht="12" x14ac:dyDescent="0.25">
      <c r="F34" s="3"/>
      <c r="L34" s="3"/>
      <c r="Q34" s="3"/>
      <c r="V34" s="3"/>
      <c r="AA34" s="3"/>
      <c r="AF34" s="3"/>
      <c r="AK34" s="3"/>
      <c r="AP34" s="3"/>
      <c r="AU34" s="3"/>
      <c r="BC34" s="42"/>
      <c r="BD34" s="46"/>
      <c r="BE34" s="1"/>
      <c r="BF34" s="1"/>
      <c r="BH34" s="3"/>
      <c r="BL34" s="3"/>
      <c r="BS34" s="3"/>
      <c r="BT34" s="3"/>
      <c r="BX34" s="3"/>
      <c r="CC34" s="3"/>
      <c r="CH34" s="3"/>
      <c r="CL34" s="3"/>
      <c r="CO34" s="3"/>
      <c r="CP34" s="3"/>
      <c r="CT34" s="3"/>
      <c r="CW34" s="3"/>
      <c r="DB34" s="3"/>
      <c r="DE34" s="3"/>
      <c r="DH34" s="3"/>
      <c r="DI34" s="3"/>
      <c r="DJ34" s="3"/>
      <c r="DK34" s="3"/>
      <c r="DL34" s="3"/>
      <c r="DM34" s="3"/>
      <c r="DN34" s="3"/>
      <c r="DO34" s="3"/>
      <c r="DR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H34" s="3"/>
      <c r="EI34" s="3"/>
      <c r="EX34" s="3"/>
      <c r="EY34" s="3"/>
      <c r="FE34" s="3"/>
      <c r="FF34" s="3"/>
      <c r="FG34" s="3"/>
      <c r="FH34" s="3"/>
      <c r="FI34" s="3"/>
      <c r="FL34" s="3"/>
      <c r="FM34" s="3"/>
      <c r="FN34" s="3"/>
      <c r="FO34" s="3"/>
      <c r="FP34" s="3"/>
      <c r="FQ34" s="3"/>
      <c r="FR34" s="3"/>
      <c r="FT34" s="3"/>
      <c r="GS34" s="3"/>
      <c r="GT34" s="3"/>
      <c r="GU34" s="3"/>
    </row>
    <row r="35" spans="6:203" ht="12" x14ac:dyDescent="0.25">
      <c r="F35" s="3"/>
      <c r="L35" s="3"/>
      <c r="Q35" s="3"/>
      <c r="V35" s="3"/>
      <c r="AA35" s="3"/>
      <c r="AF35" s="3"/>
      <c r="AK35" s="3"/>
      <c r="AP35" s="3"/>
      <c r="AU35" s="3"/>
      <c r="BC35" s="42"/>
      <c r="BD35" s="46"/>
      <c r="BE35" s="1"/>
      <c r="BF35" s="1"/>
      <c r="BH35" s="3"/>
      <c r="BL35" s="3"/>
      <c r="BS35" s="3"/>
      <c r="BT35" s="3"/>
      <c r="BX35" s="3"/>
      <c r="CC35" s="3"/>
      <c r="CH35" s="3"/>
      <c r="CL35" s="3"/>
      <c r="CO35" s="3"/>
      <c r="CP35" s="3"/>
      <c r="CT35" s="3"/>
      <c r="CW35" s="3"/>
      <c r="DB35" s="3"/>
      <c r="DE35" s="3"/>
      <c r="DH35" s="3"/>
      <c r="DI35" s="3"/>
      <c r="DJ35" s="3"/>
      <c r="DK35" s="3"/>
      <c r="DL35" s="3"/>
      <c r="DM35" s="3"/>
      <c r="DN35" s="3"/>
      <c r="DO35" s="3"/>
      <c r="DR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H35" s="3"/>
      <c r="EI35" s="3"/>
      <c r="EX35" s="3"/>
      <c r="EY35" s="3"/>
      <c r="FE35" s="3"/>
      <c r="FF35" s="3"/>
      <c r="FG35" s="3"/>
      <c r="FH35" s="3"/>
      <c r="FI35" s="3"/>
      <c r="FL35" s="3"/>
      <c r="FM35" s="3"/>
      <c r="FN35" s="3"/>
      <c r="FO35" s="3"/>
      <c r="FP35" s="3"/>
      <c r="FQ35" s="3"/>
      <c r="FR35" s="3"/>
      <c r="FT35" s="3"/>
      <c r="GS35" s="3"/>
      <c r="GT35" s="3"/>
      <c r="GU35" s="3"/>
    </row>
    <row r="36" spans="6:203" ht="12" x14ac:dyDescent="0.25">
      <c r="F36" s="3"/>
      <c r="L36" s="3"/>
      <c r="Q36" s="3"/>
      <c r="V36" s="3"/>
      <c r="AA36" s="3"/>
      <c r="AF36" s="3"/>
      <c r="AK36" s="3"/>
      <c r="AP36" s="3"/>
      <c r="AU36" s="3"/>
      <c r="BC36" s="42"/>
      <c r="BD36" s="46"/>
      <c r="BE36" s="1"/>
      <c r="BF36" s="1"/>
      <c r="BH36" s="3"/>
      <c r="BL36" s="3"/>
      <c r="BS36" s="3"/>
      <c r="BT36" s="3"/>
      <c r="BX36" s="3"/>
      <c r="CC36" s="3"/>
      <c r="CH36" s="3"/>
      <c r="CL36" s="3"/>
      <c r="CO36" s="3"/>
      <c r="CP36" s="3"/>
      <c r="CT36" s="3"/>
      <c r="CW36" s="3"/>
      <c r="DB36" s="3"/>
      <c r="DE36" s="3"/>
      <c r="DH36" s="3"/>
      <c r="DI36" s="3"/>
      <c r="DJ36" s="3"/>
      <c r="DK36" s="3"/>
      <c r="DL36" s="3"/>
      <c r="DM36" s="3"/>
      <c r="DN36" s="3"/>
      <c r="DO36" s="3"/>
      <c r="DR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H36" s="3"/>
      <c r="EI36" s="3"/>
      <c r="EX36" s="3"/>
      <c r="EY36" s="3"/>
      <c r="FE36" s="3"/>
      <c r="FF36" s="3"/>
      <c r="FG36" s="3"/>
      <c r="FH36" s="3"/>
      <c r="FI36" s="3"/>
      <c r="FL36" s="3"/>
      <c r="FM36" s="3"/>
      <c r="FN36" s="3"/>
      <c r="FO36" s="3"/>
      <c r="FP36" s="3"/>
      <c r="FQ36" s="3"/>
      <c r="FR36" s="3"/>
      <c r="FT36" s="3"/>
      <c r="GS36" s="3"/>
      <c r="GT36" s="3"/>
      <c r="GU36" s="3"/>
    </row>
    <row r="37" spans="6:203" ht="12" x14ac:dyDescent="0.25">
      <c r="F37" s="3"/>
      <c r="L37" s="3"/>
      <c r="Q37" s="3"/>
      <c r="V37" s="3"/>
      <c r="AA37" s="3"/>
      <c r="AF37" s="3"/>
      <c r="AK37" s="3"/>
      <c r="AP37" s="3"/>
      <c r="AU37" s="3"/>
      <c r="BC37" s="42"/>
      <c r="BD37" s="46"/>
      <c r="BE37" s="1"/>
      <c r="BF37" s="1"/>
      <c r="BH37" s="3"/>
      <c r="BL37" s="3"/>
      <c r="BS37" s="3"/>
      <c r="BT37" s="3"/>
      <c r="BX37" s="3"/>
      <c r="CC37" s="3"/>
      <c r="CH37" s="3"/>
      <c r="CL37" s="3"/>
      <c r="CO37" s="3"/>
      <c r="CP37" s="3"/>
      <c r="CT37" s="3"/>
      <c r="CW37" s="3"/>
      <c r="DB37" s="3"/>
      <c r="DE37" s="3"/>
      <c r="DH37" s="3"/>
      <c r="DI37" s="3"/>
      <c r="DJ37" s="3"/>
      <c r="DK37" s="3"/>
      <c r="DL37" s="3"/>
      <c r="DM37" s="3"/>
      <c r="DN37" s="3"/>
      <c r="DO37" s="3"/>
      <c r="DR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H37" s="3"/>
      <c r="EI37" s="3"/>
      <c r="EX37" s="3"/>
      <c r="EY37" s="3"/>
      <c r="FE37" s="3"/>
      <c r="FF37" s="3"/>
      <c r="FG37" s="3"/>
      <c r="FH37" s="3"/>
      <c r="FI37" s="3"/>
      <c r="FL37" s="3"/>
      <c r="FM37" s="3"/>
      <c r="FN37" s="3"/>
      <c r="FO37" s="3"/>
      <c r="FP37" s="3"/>
      <c r="FQ37" s="3"/>
      <c r="FR37" s="3"/>
      <c r="FT37" s="3"/>
      <c r="GS37" s="3"/>
      <c r="GT37" s="3"/>
      <c r="GU37" s="3"/>
    </row>
    <row r="38" spans="6:203" ht="12.75" customHeight="1" x14ac:dyDescent="0.25">
      <c r="F38" s="3"/>
      <c r="L38" s="3"/>
      <c r="Q38" s="3"/>
      <c r="V38" s="3"/>
      <c r="AA38" s="3"/>
      <c r="AF38" s="3"/>
      <c r="AK38" s="3"/>
      <c r="AP38" s="3"/>
      <c r="AU38" s="3"/>
      <c r="BC38" s="42"/>
      <c r="BD38" s="46"/>
      <c r="BE38" s="1"/>
      <c r="BF38" s="1"/>
      <c r="BH38" s="3"/>
      <c r="BL38" s="3"/>
      <c r="BS38" s="3"/>
      <c r="BT38" s="3"/>
      <c r="BX38" s="3"/>
      <c r="CC38" s="3"/>
      <c r="CH38" s="3"/>
      <c r="CL38" s="3"/>
      <c r="CO38" s="3"/>
      <c r="CP38" s="3"/>
      <c r="CT38" s="3"/>
      <c r="CW38" s="3"/>
      <c r="DB38" s="3"/>
      <c r="DE38" s="3"/>
      <c r="DH38" s="3"/>
      <c r="DI38" s="3"/>
      <c r="DJ38" s="3"/>
      <c r="DK38" s="3"/>
      <c r="DL38" s="3"/>
      <c r="DM38" s="3"/>
      <c r="DN38" s="3"/>
      <c r="DO38" s="3"/>
      <c r="DR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H38" s="3"/>
      <c r="EI38" s="3"/>
      <c r="EX38" s="3"/>
      <c r="EY38" s="3"/>
      <c r="FE38" s="3"/>
      <c r="FF38" s="3"/>
      <c r="FG38" s="3"/>
      <c r="FH38" s="3"/>
      <c r="FI38" s="3"/>
      <c r="FL38" s="3"/>
      <c r="FM38" s="3"/>
      <c r="FN38" s="3"/>
      <c r="FO38" s="3"/>
      <c r="FP38" s="3"/>
      <c r="FQ38" s="3"/>
      <c r="FR38" s="3"/>
      <c r="FT38" s="3"/>
      <c r="GS38" s="3"/>
      <c r="GT38" s="3"/>
      <c r="GU38" s="3"/>
    </row>
    <row r="39" spans="6:203" ht="12" x14ac:dyDescent="0.25">
      <c r="F39" s="3"/>
      <c r="L39" s="3"/>
      <c r="Q39" s="3"/>
      <c r="V39" s="3"/>
      <c r="AA39" s="3"/>
      <c r="AF39" s="3"/>
      <c r="AK39" s="3"/>
      <c r="AP39" s="3"/>
      <c r="AU39" s="3"/>
      <c r="BC39" s="42"/>
      <c r="BD39" s="46"/>
      <c r="BE39" s="1"/>
      <c r="BF39" s="1"/>
      <c r="BH39" s="3"/>
      <c r="BL39" s="3"/>
      <c r="BS39" s="3"/>
      <c r="BT39" s="3"/>
      <c r="BX39" s="3"/>
      <c r="CC39" s="3"/>
      <c r="CH39" s="3"/>
      <c r="CL39" s="3"/>
      <c r="CO39" s="3"/>
      <c r="CP39" s="3"/>
      <c r="CT39" s="3"/>
      <c r="CW39" s="3"/>
      <c r="DB39" s="3"/>
      <c r="DE39" s="3"/>
      <c r="DH39" s="3"/>
      <c r="DI39" s="3"/>
      <c r="DJ39" s="3"/>
      <c r="DK39" s="3"/>
      <c r="DL39" s="3"/>
      <c r="DM39" s="3"/>
      <c r="DN39" s="3"/>
      <c r="DO39" s="3"/>
      <c r="DR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H39" s="3"/>
      <c r="EI39" s="3"/>
      <c r="EX39" s="3"/>
      <c r="EY39" s="3"/>
      <c r="FE39" s="3"/>
      <c r="FF39" s="3"/>
      <c r="FG39" s="3"/>
      <c r="FH39" s="3"/>
      <c r="FI39" s="3"/>
      <c r="FL39" s="3"/>
      <c r="FM39" s="3"/>
      <c r="FN39" s="3"/>
      <c r="FO39" s="3"/>
      <c r="FP39" s="3"/>
      <c r="FQ39" s="3"/>
      <c r="FR39" s="3"/>
      <c r="FT39" s="3"/>
      <c r="GS39" s="3"/>
      <c r="GT39" s="3"/>
      <c r="GU39" s="3"/>
    </row>
    <row r="40" spans="6:203" ht="12" x14ac:dyDescent="0.25">
      <c r="F40" s="3"/>
      <c r="L40" s="3"/>
      <c r="Q40" s="3"/>
      <c r="V40" s="3"/>
      <c r="AA40" s="3"/>
      <c r="AF40" s="3"/>
      <c r="AK40" s="3"/>
      <c r="AP40" s="3"/>
      <c r="AU40" s="3"/>
      <c r="BC40" s="42"/>
      <c r="BD40" s="46"/>
      <c r="BE40" s="1"/>
      <c r="BF40" s="1"/>
      <c r="BH40" s="3"/>
      <c r="BL40" s="3"/>
      <c r="BS40" s="3"/>
      <c r="BT40" s="3"/>
      <c r="BX40" s="3"/>
      <c r="CC40" s="3"/>
      <c r="CH40" s="3"/>
      <c r="CL40" s="3"/>
      <c r="CO40" s="3"/>
      <c r="CP40" s="3"/>
      <c r="CT40" s="3"/>
      <c r="CW40" s="3"/>
      <c r="DB40" s="3"/>
      <c r="DE40" s="3"/>
      <c r="DH40" s="3"/>
      <c r="DI40" s="3"/>
      <c r="DJ40" s="3"/>
      <c r="DK40" s="3"/>
      <c r="DL40" s="3"/>
      <c r="DM40" s="3"/>
      <c r="DN40" s="3"/>
      <c r="DO40" s="3"/>
      <c r="DR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H40" s="3"/>
      <c r="EI40" s="3"/>
      <c r="EX40" s="3"/>
      <c r="EY40" s="3"/>
      <c r="FE40" s="3"/>
      <c r="FF40" s="3"/>
      <c r="FG40" s="3"/>
      <c r="FH40" s="3"/>
      <c r="FI40" s="3"/>
      <c r="FL40" s="3"/>
      <c r="FM40" s="3"/>
      <c r="FN40" s="3"/>
      <c r="FO40" s="3"/>
      <c r="FP40" s="3"/>
      <c r="FQ40" s="3"/>
      <c r="FR40" s="3"/>
      <c r="FT40" s="3"/>
      <c r="GS40" s="3"/>
      <c r="GT40" s="3"/>
      <c r="GU40" s="3"/>
    </row>
    <row r="41" spans="6:203" ht="12" x14ac:dyDescent="0.25">
      <c r="F41" s="3"/>
      <c r="L41" s="3"/>
      <c r="Q41" s="3"/>
      <c r="V41" s="3"/>
      <c r="AA41" s="3"/>
      <c r="AF41" s="3"/>
      <c r="AK41" s="3"/>
      <c r="AP41" s="3"/>
      <c r="AU41" s="3"/>
      <c r="BC41" s="42"/>
      <c r="BD41" s="46"/>
      <c r="BE41" s="1"/>
      <c r="BF41" s="1"/>
      <c r="BH41" s="3"/>
      <c r="BL41" s="3"/>
      <c r="BS41" s="3"/>
      <c r="BT41" s="3"/>
      <c r="BX41" s="3"/>
      <c r="CC41" s="3"/>
      <c r="CH41" s="3"/>
      <c r="CL41" s="3"/>
      <c r="CO41" s="3"/>
      <c r="CP41" s="3"/>
      <c r="CT41" s="3"/>
      <c r="CW41" s="3"/>
      <c r="DB41" s="3"/>
      <c r="DE41" s="3"/>
      <c r="DH41" s="3"/>
      <c r="DI41" s="3"/>
      <c r="DJ41" s="3"/>
      <c r="DK41" s="3"/>
      <c r="DL41" s="3"/>
      <c r="DM41" s="3"/>
      <c r="DN41" s="3"/>
      <c r="DO41" s="3"/>
      <c r="DR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H41" s="3"/>
      <c r="EI41" s="3"/>
      <c r="EX41" s="3"/>
      <c r="EY41" s="3"/>
      <c r="FE41" s="3"/>
      <c r="FF41" s="3"/>
      <c r="FG41" s="3"/>
      <c r="FH41" s="3"/>
      <c r="FI41" s="3"/>
      <c r="FL41" s="3"/>
      <c r="FM41" s="3"/>
      <c r="FN41" s="3"/>
      <c r="FO41" s="3"/>
      <c r="FP41" s="3"/>
      <c r="FQ41" s="3"/>
      <c r="FR41" s="3"/>
      <c r="FT41" s="3"/>
      <c r="GS41" s="3"/>
      <c r="GT41" s="3"/>
      <c r="GU41" s="3"/>
    </row>
    <row r="42" spans="6:203" ht="12" x14ac:dyDescent="0.25">
      <c r="F42" s="3"/>
      <c r="L42" s="3"/>
      <c r="Q42" s="3"/>
      <c r="V42" s="3"/>
      <c r="AA42" s="3"/>
      <c r="AF42" s="3"/>
      <c r="AK42" s="3"/>
      <c r="AP42" s="3"/>
      <c r="AU42" s="3"/>
      <c r="BC42" s="42"/>
      <c r="BD42" s="46"/>
      <c r="BE42" s="1"/>
      <c r="BF42" s="1"/>
      <c r="BH42" s="3"/>
      <c r="BL42" s="3"/>
      <c r="BS42" s="3"/>
      <c r="BT42" s="3"/>
      <c r="BX42" s="3"/>
      <c r="CC42" s="3"/>
      <c r="CH42" s="3"/>
      <c r="CL42" s="3"/>
      <c r="CO42" s="3"/>
      <c r="CP42" s="3"/>
      <c r="CT42" s="3"/>
      <c r="CW42" s="3"/>
      <c r="DB42" s="3"/>
      <c r="DE42" s="3"/>
      <c r="DH42" s="3"/>
      <c r="DI42" s="3"/>
      <c r="DJ42" s="3"/>
      <c r="DK42" s="3"/>
      <c r="DL42" s="3"/>
      <c r="DM42" s="3"/>
      <c r="DN42" s="3"/>
      <c r="DO42" s="3"/>
      <c r="DR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H42" s="3"/>
      <c r="EI42" s="3"/>
      <c r="EX42" s="3"/>
      <c r="EY42" s="3"/>
      <c r="FE42" s="3"/>
      <c r="FF42" s="3"/>
      <c r="FG42" s="3"/>
      <c r="FH42" s="3"/>
      <c r="FI42" s="3"/>
      <c r="FL42" s="3"/>
      <c r="FM42" s="3"/>
      <c r="FN42" s="3"/>
      <c r="FO42" s="3"/>
      <c r="FP42" s="3"/>
      <c r="FQ42" s="3"/>
      <c r="FR42" s="3"/>
      <c r="FT42" s="3"/>
      <c r="GS42" s="3"/>
      <c r="GT42" s="3"/>
      <c r="GU42" s="3"/>
    </row>
    <row r="43" spans="6:203" ht="12" x14ac:dyDescent="0.25">
      <c r="F43" s="3"/>
      <c r="L43" s="3"/>
      <c r="Q43" s="3"/>
      <c r="V43" s="3"/>
      <c r="AA43" s="3"/>
      <c r="AF43" s="3"/>
      <c r="AK43" s="3"/>
      <c r="AP43" s="3"/>
      <c r="AU43" s="3"/>
      <c r="BC43" s="42"/>
      <c r="BD43" s="46"/>
      <c r="BE43" s="1"/>
      <c r="BF43" s="1"/>
      <c r="BH43" s="3"/>
      <c r="BL43" s="3"/>
      <c r="BS43" s="3"/>
      <c r="BT43" s="3"/>
      <c r="BX43" s="3"/>
      <c r="CC43" s="3"/>
      <c r="CH43" s="3"/>
      <c r="CL43" s="3"/>
      <c r="CO43" s="3"/>
      <c r="CP43" s="3"/>
      <c r="CT43" s="3"/>
      <c r="CW43" s="3"/>
      <c r="DB43" s="3"/>
      <c r="DE43" s="3"/>
      <c r="DH43" s="3"/>
      <c r="DI43" s="3"/>
      <c r="DJ43" s="3"/>
      <c r="DK43" s="3"/>
      <c r="DL43" s="3"/>
      <c r="DM43" s="3"/>
      <c r="DN43" s="3"/>
      <c r="DO43" s="3"/>
      <c r="DR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H43" s="3"/>
      <c r="EI43" s="3"/>
      <c r="EX43" s="3"/>
      <c r="EY43" s="3"/>
      <c r="FE43" s="3"/>
      <c r="FF43" s="3"/>
      <c r="FG43" s="3"/>
      <c r="FH43" s="3"/>
      <c r="FI43" s="3"/>
      <c r="FL43" s="3"/>
      <c r="FM43" s="3"/>
      <c r="FN43" s="3"/>
      <c r="FO43" s="3"/>
      <c r="FP43" s="3"/>
      <c r="FQ43" s="3"/>
      <c r="FR43" s="3"/>
      <c r="FT43" s="3"/>
      <c r="GS43" s="3"/>
      <c r="GT43" s="3"/>
      <c r="GU43" s="3"/>
    </row>
    <row r="44" spans="6:203" ht="12" x14ac:dyDescent="0.25">
      <c r="F44" s="3"/>
      <c r="L44" s="3"/>
      <c r="Q44" s="3"/>
      <c r="V44" s="3"/>
      <c r="AA44" s="3"/>
      <c r="AF44" s="3"/>
      <c r="AK44" s="3"/>
      <c r="AP44" s="3"/>
      <c r="AU44" s="3"/>
      <c r="BC44" s="42"/>
      <c r="BD44" s="46"/>
      <c r="BE44" s="1"/>
      <c r="BF44" s="1"/>
      <c r="BH44" s="3"/>
      <c r="BL44" s="3"/>
      <c r="BS44" s="3"/>
      <c r="BT44" s="3"/>
      <c r="BX44" s="3"/>
      <c r="CC44" s="3"/>
      <c r="CH44" s="3"/>
      <c r="CL44" s="3"/>
      <c r="CO44" s="3"/>
      <c r="CP44" s="3"/>
      <c r="CT44" s="3"/>
      <c r="CW44" s="3"/>
      <c r="DB44" s="3"/>
      <c r="DE44" s="3"/>
      <c r="DH44" s="3"/>
      <c r="DI44" s="3"/>
      <c r="DJ44" s="3"/>
      <c r="DK44" s="3"/>
      <c r="DL44" s="3"/>
      <c r="DM44" s="3"/>
      <c r="DN44" s="3"/>
      <c r="DO44" s="3"/>
      <c r="DR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H44" s="3"/>
      <c r="EI44" s="3"/>
      <c r="EX44" s="3"/>
      <c r="EY44" s="3"/>
      <c r="FE44" s="3"/>
      <c r="FF44" s="3"/>
      <c r="FG44" s="3"/>
      <c r="FH44" s="3"/>
      <c r="FI44" s="3"/>
      <c r="FL44" s="3"/>
      <c r="FM44" s="3"/>
      <c r="FN44" s="3"/>
      <c r="FO44" s="3"/>
      <c r="FP44" s="3"/>
      <c r="FQ44" s="3"/>
      <c r="FR44" s="3"/>
      <c r="FT44" s="3"/>
      <c r="GS44" s="3"/>
      <c r="GT44" s="3"/>
      <c r="GU44" s="3"/>
    </row>
    <row r="45" spans="6:203" ht="12" x14ac:dyDescent="0.25">
      <c r="F45" s="3"/>
      <c r="L45" s="3"/>
      <c r="Q45" s="3"/>
      <c r="V45" s="3"/>
      <c r="AA45" s="3"/>
      <c r="AF45" s="3"/>
      <c r="AK45" s="3"/>
      <c r="AP45" s="3"/>
      <c r="AU45" s="3"/>
      <c r="BC45" s="42"/>
      <c r="BD45" s="46"/>
      <c r="BE45" s="1"/>
      <c r="BF45" s="1"/>
      <c r="BH45" s="3"/>
      <c r="BL45" s="3"/>
      <c r="BS45" s="3"/>
      <c r="BT45" s="3"/>
      <c r="BX45" s="3"/>
      <c r="CC45" s="3"/>
      <c r="CH45" s="3"/>
      <c r="CL45" s="3"/>
      <c r="CO45" s="3"/>
      <c r="CP45" s="3"/>
      <c r="CT45" s="3"/>
      <c r="CW45" s="3"/>
      <c r="DB45" s="3"/>
      <c r="DE45" s="3"/>
      <c r="DH45" s="3"/>
      <c r="DI45" s="3"/>
      <c r="DJ45" s="3"/>
      <c r="DK45" s="3"/>
      <c r="DL45" s="3"/>
      <c r="DM45" s="3"/>
      <c r="DN45" s="3"/>
      <c r="DO45" s="3"/>
      <c r="DR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H45" s="3"/>
      <c r="EI45" s="3"/>
      <c r="EX45" s="3"/>
      <c r="EY45" s="3"/>
      <c r="FE45" s="3"/>
      <c r="FF45" s="3"/>
      <c r="FG45" s="3"/>
      <c r="FH45" s="3"/>
      <c r="FI45" s="3"/>
      <c r="FL45" s="3"/>
      <c r="FM45" s="3"/>
      <c r="FN45" s="3"/>
      <c r="FO45" s="3"/>
      <c r="FP45" s="3"/>
      <c r="FQ45" s="3"/>
      <c r="FR45" s="3"/>
      <c r="FT45" s="3"/>
      <c r="GS45" s="3"/>
      <c r="GT45" s="3"/>
      <c r="GU45" s="3"/>
    </row>
  </sheetData>
  <mergeCells count="52">
    <mergeCell ref="DW1:DZ1"/>
    <mergeCell ref="EW3:EY3"/>
    <mergeCell ref="EZ3:FD3"/>
    <mergeCell ref="FZ3:GD3"/>
    <mergeCell ref="GE3:GI3"/>
    <mergeCell ref="FU2:GO2"/>
    <mergeCell ref="EE3:EI3"/>
    <mergeCell ref="EJ3:EL3"/>
    <mergeCell ref="EE2:FT2"/>
    <mergeCell ref="EM3:EP3"/>
    <mergeCell ref="EQ3:ES3"/>
    <mergeCell ref="ET3:EV3"/>
    <mergeCell ref="DD3:DF3"/>
    <mergeCell ref="DG3:DI3"/>
    <mergeCell ref="DJ3:DL3"/>
    <mergeCell ref="GM3:GP3"/>
    <mergeCell ref="GJ3:GL3"/>
    <mergeCell ref="FE3:FI3"/>
    <mergeCell ref="FJ3:FM3"/>
    <mergeCell ref="FN3:FQ3"/>
    <mergeCell ref="FU3:FY3"/>
    <mergeCell ref="DW3:EA3"/>
    <mergeCell ref="BE2:CP2"/>
    <mergeCell ref="CV3:CX3"/>
    <mergeCell ref="CQ3:CU3"/>
    <mergeCell ref="C1:T1"/>
    <mergeCell ref="AR3:AV3"/>
    <mergeCell ref="AW3:BA3"/>
    <mergeCell ref="C2:BD2"/>
    <mergeCell ref="BE3:BI3"/>
    <mergeCell ref="C3:G3"/>
    <mergeCell ref="H3:M3"/>
    <mergeCell ref="N3:R3"/>
    <mergeCell ref="S3:W3"/>
    <mergeCell ref="X3:AB3"/>
    <mergeCell ref="AC3:AG3"/>
    <mergeCell ref="DP1:DS1"/>
    <mergeCell ref="AH28:AK28"/>
    <mergeCell ref="CZ27:DA27"/>
    <mergeCell ref="AH3:AL3"/>
    <mergeCell ref="AM3:AQ3"/>
    <mergeCell ref="CY3:DC3"/>
    <mergeCell ref="BJ3:BM3"/>
    <mergeCell ref="BN3:BT3"/>
    <mergeCell ref="BU3:BY3"/>
    <mergeCell ref="BZ3:CD3"/>
    <mergeCell ref="CE3:CI3"/>
    <mergeCell ref="CQ2:DH2"/>
    <mergeCell ref="DP2:ED2"/>
    <mergeCell ref="DP3:DS3"/>
    <mergeCell ref="DT3:DV3"/>
    <mergeCell ref="CJ3:CM3"/>
  </mergeCells>
  <pageMargins left="0.23622047244094491" right="0.23622047244094491" top="0.15748031496062992" bottom="0.19685039370078741" header="0.31496062992125984" footer="0.31496062992125984"/>
  <pageSetup paperSize="9" scale="8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 и места 1</vt:lpstr>
      <vt:lpstr>'Расчет и места 1'!Заголовки_для_печати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2019-04-24T08:59:59Z</dcterms:modified>
</cp:coreProperties>
</file>